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52" activeTab="0"/>
  </bookViews>
  <sheets>
    <sheet name="Orientações" sheetId="1" r:id="rId1"/>
    <sheet name="Inicial - Resumo" sheetId="2" r:id="rId2"/>
    <sheet name="I. Contribuições" sheetId="3" r:id="rId3"/>
    <sheet name="II. Exaurimento" sheetId="4" r:id="rId4"/>
    <sheet name="III. Recálculo" sheetId="5" r:id="rId5"/>
  </sheets>
  <definedNames>
    <definedName name="_xlnm.Print_Area" localSheetId="2">'I. Contribuições'!$A$1:$G$99</definedName>
    <definedName name="_xlnm.Print_Area" localSheetId="3">'II. Exaurimento'!$A$1:$H$133</definedName>
    <definedName name="_xlnm.Print_Area" localSheetId="4">'III. Recálculo'!$A$1:$I$44</definedName>
    <definedName name="_xlnm.Print_Area" localSheetId="1">'Inicial - Resumo'!$A$1:$G$33</definedName>
    <definedName name="_xlnm.Print_Area" localSheetId="0">'Orientações'!$A$1:$G$20</definedName>
    <definedName name="Excel_BuiltIn_Print_Area_2">'I. Contribuições'!$A$1:$F$246</definedName>
    <definedName name="Excel_BuiltIn_Print_Area_3">'II. Exaurimento'!$A$1:$H$86</definedName>
    <definedName name="Excel_BuiltIn_Print_Area_4">'III. Recálculo'!$A$1:$N$6</definedName>
    <definedName name="Excel_BuiltIn_Print_Area_5">#N/A</definedName>
    <definedName name="Excel_BuiltIn_Print_Area_6">#N/A</definedName>
    <definedName name="Excel_BuiltIn_Print_Area_7">#N/A</definedName>
    <definedName name="Excel_BuiltIn_Print_Titles_1">'Inicial - Resumo'!$A$1:$IU$9</definedName>
    <definedName name="Excel_BuiltIn_Print_Titles_2">'I. Contribuições'!$A$1:$IT$14</definedName>
    <definedName name="Excel_BuiltIn_Print_Titles_3">'II. Exaurimento'!$A$1:$IU$9</definedName>
    <definedName name="Excel_BuiltIn_Print_Titles_6">#N/A</definedName>
    <definedName name="Excel_BuiltIn_Print_Titles_7">#N/A</definedName>
    <definedName name="_xlnm.Print_Titles" localSheetId="2">'I. Contribuições'!$1:$14</definedName>
    <definedName name="_xlnm.Print_Titles" localSheetId="3">'II. Exaurimento'!$1:$11</definedName>
    <definedName name="_xlnm.Print_Titles" localSheetId="1">'Inicial - Resumo'!$1:$9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Titular do Plano de Previdência Complementar</t>
        </r>
      </text>
    </comment>
    <comment ref="C5" authorId="0">
      <text>
        <r>
          <rPr>
            <sz val="10"/>
            <rFont val="Arial"/>
            <family val="2"/>
          </rPr>
          <t>CPF do Contribuinte Informado</t>
        </r>
      </text>
    </comment>
    <comment ref="C7" authorId="0">
      <text>
        <r>
          <rPr>
            <sz val="10"/>
            <rFont val="Arial"/>
            <family val="2"/>
          </rPr>
          <t>Entidade de Previdência Complementar que paga o benefício.</t>
        </r>
      </text>
    </comment>
    <comment ref="C8" authorId="0">
      <text>
        <r>
          <rPr>
            <sz val="10"/>
            <rFont val="Arial"/>
            <family val="2"/>
          </rPr>
          <t>Número da Fonte Pagadora no CNPJ</t>
        </r>
      </text>
    </comment>
    <comment ref="C10" authorId="0">
      <text>
        <r>
          <rPr>
            <sz val="10"/>
            <rFont val="Arial"/>
            <family val="2"/>
          </rPr>
          <t>Mês de Referência para a Consolidação, que serve de base para o exaurimento (que deve ocorrer a partir dos recebimentos mais antigos).
Formato: DD/MM/AAAA</t>
        </r>
      </text>
    </comment>
    <comment ref="K14" authorId="0">
      <text>
        <r>
          <rPr>
            <sz val="10"/>
            <rFont val="Arial"/>
            <family val="2"/>
          </rPr>
          <t>Valor Atualizado das Contribuições nos anos de 1989/1995.
Fornecido pela Entidade de Previdência Complementar.</t>
        </r>
      </text>
    </comment>
    <comment ref="A30" authorId="0">
      <text>
        <r>
          <rPr>
            <sz val="10"/>
            <rFont val="Arial"/>
            <family val="2"/>
          </rPr>
          <t>Espaço de livre preenchimento para Observações e Anotações.</t>
        </r>
      </text>
    </comment>
    <comment ref="A31" authorId="0">
      <text>
        <r>
          <rPr>
            <sz val="10"/>
            <rFont val="Arial"/>
            <family val="2"/>
          </rPr>
          <t>Nome do Responsável pelo Preenchimento das tabelas.</t>
        </r>
      </text>
    </comment>
    <comment ref="A32" authorId="0">
      <text>
        <r>
          <rPr>
            <sz val="10"/>
            <rFont val="Arial"/>
            <family val="2"/>
          </rPr>
          <t>Identificação do Responsável pelo Preenchimento das tabelas.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B15" authorId="0">
      <text>
        <r>
          <rPr>
            <sz val="10"/>
            <rFont val="Arial"/>
            <family val="2"/>
          </rPr>
          <t>Valor da Contribuição vertida pelo próprio beneficiário no mês para a formação do Fundo de Previdência Complementar.
O valor deve estar em moeda original (identificada no coluna seguinte).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C24" authorId="0">
      <text>
        <r>
          <rPr>
            <sz val="10"/>
            <rFont val="Arial"/>
            <family val="2"/>
          </rPr>
          <t>Rendimentos Tributáveis Brutos Recebidos a título de Previdência Complementar durante o ano de 2008 (exceto 13º salário).</t>
        </r>
      </text>
    </comment>
    <comment ref="C25" authorId="0">
      <text>
        <r>
          <rPr>
            <sz val="10"/>
            <rFont val="Arial"/>
            <family val="2"/>
          </rPr>
          <t>Rendimento Tributável Bruto de 13º Salário recebido a título de Previdência Complementar em 2008.</t>
        </r>
      </text>
    </comment>
    <comment ref="C39" authorId="0">
      <text>
        <r>
          <rPr>
            <sz val="10"/>
            <rFont val="Arial"/>
            <family val="2"/>
          </rPr>
          <t>Rendimentos Tributáveis Brutos Recebidos a título de Previdência Complementar durante o ano de 2009 (exceto 13º salário).</t>
        </r>
      </text>
    </comment>
    <comment ref="C40" authorId="0">
      <text>
        <r>
          <rPr>
            <sz val="10"/>
            <rFont val="Arial"/>
            <family val="2"/>
          </rPr>
          <t>Rendimento Tributável Bruto de 13º Salário recebido a título de Previdência Complementar em 2009.</t>
        </r>
      </text>
    </comment>
    <comment ref="C54" authorId="0">
      <text>
        <r>
          <rPr>
            <sz val="10"/>
            <rFont val="Arial"/>
            <family val="2"/>
          </rPr>
          <t>Rendimentos Tributáveis Brutos Recebidos a título de Previdência Complementar durante o ano de 2010 (exceto 13º salário).</t>
        </r>
      </text>
    </comment>
    <comment ref="C55" authorId="0">
      <text>
        <r>
          <rPr>
            <sz val="10"/>
            <rFont val="Arial"/>
            <family val="2"/>
          </rPr>
          <t>Rendimento Tributável Bruto de 13º Salário recebido a título de Previdência Complementar em 2010.</t>
        </r>
      </text>
    </comment>
    <comment ref="C69" authorId="0">
      <text>
        <r>
          <rPr>
            <sz val="10"/>
            <rFont val="Arial"/>
            <family val="2"/>
          </rPr>
          <t>Rendimentos Tributáveis Brutos Recebidos a título de Previdência Complementar durante o ano de 2011 (exceto 13º salário).</t>
        </r>
      </text>
    </comment>
    <comment ref="C70" authorId="0">
      <text>
        <r>
          <rPr>
            <sz val="10"/>
            <rFont val="Arial"/>
            <family val="2"/>
          </rPr>
          <t>Rendimento Tributável Bruto de 13º Salário recebido a título de Previdência Complementar em 2011.</t>
        </r>
      </text>
    </comment>
    <comment ref="C84" authorId="0">
      <text>
        <r>
          <rPr>
            <sz val="10"/>
            <rFont val="Arial"/>
            <family val="2"/>
          </rPr>
          <t>Rendimentos Tributáveis Brutos Recebidos a título de Previdência Complementar durante o ano de 2012 (exceto 13º salário).</t>
        </r>
      </text>
    </comment>
    <comment ref="C85" authorId="0">
      <text>
        <r>
          <rPr>
            <sz val="10"/>
            <rFont val="Arial"/>
            <family val="2"/>
          </rPr>
          <t>Rendimento Tributável Bruto de 13º Salário recebido a título de Previdência Complementar em 2012.</t>
        </r>
      </text>
    </comment>
    <comment ref="C88" authorId="0">
      <text>
        <r>
          <rPr>
            <sz val="10"/>
            <rFont val="Arial"/>
            <family val="2"/>
          </rPr>
          <t>Rendimentos Tributáveis Brutos Recebidos a título de Previdência Complementar durante o ano de 2013 (exceto 13º salário).</t>
        </r>
      </text>
    </comment>
    <comment ref="C101" authorId="0">
      <text>
        <r>
          <rPr>
            <sz val="10"/>
            <rFont val="Arial"/>
            <family val="2"/>
          </rPr>
          <t>Rendimento Tributável Bruto de 13º Salário recebido a título de Previdência Complementar em 2013.</t>
        </r>
      </text>
    </comment>
    <comment ref="C104" authorId="0">
      <text>
        <r>
          <rPr>
            <sz val="10"/>
            <rFont val="Arial"/>
            <family val="2"/>
          </rPr>
          <t>Rendimentos Tributáveis Brutos Recebidos a título de Previdência Complementar durante o ano de 2014 (exceto 13º salário).</t>
        </r>
      </text>
    </comment>
    <comment ref="C117" authorId="0">
      <text>
        <r>
          <rPr>
            <sz val="10"/>
            <rFont val="Arial"/>
            <family val="2"/>
          </rPr>
          <t>Rendimento Tributável Bruto de 13º Salário recebido a título de Previdência Complementar em 2014.</t>
        </r>
      </text>
    </comment>
    <comment ref="C120" authorId="0">
      <text>
        <r>
          <rPr>
            <sz val="10"/>
            <rFont val="Arial"/>
            <family val="2"/>
          </rPr>
          <t>Rendimentos Tributáveis Brutos Recebidos a título de Previdência Complementar durante o ano de 2015 (exceto 13º salário).</t>
        </r>
      </text>
    </comment>
    <comment ref="C133" authorId="0">
      <text>
        <r>
          <rPr>
            <sz val="10"/>
            <rFont val="Arial"/>
            <family val="2"/>
          </rPr>
          <t>Rendimento Tributável Bruto de 13º Salário recebido a título de Previdência Complementar em 2015.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9" authorId="0">
      <text>
        <r>
          <rPr>
            <sz val="10"/>
            <rFont val="Arial"/>
            <family val="2"/>
          </rPr>
          <t>Rentimentos Tributáveis Declarados</t>
        </r>
      </text>
    </comment>
    <comment ref="B11" authorId="0">
      <text>
        <r>
          <rPr>
            <sz val="10"/>
            <rFont val="Arial"/>
            <family val="2"/>
          </rPr>
          <t>Base de Cálculo Apurada na Declaração de Ajuste Anual</t>
        </r>
      </text>
    </comment>
    <comment ref="B13" authorId="0">
      <text>
        <r>
          <rPr>
            <sz val="10"/>
            <rFont val="Arial"/>
            <family val="2"/>
          </rPr>
          <t>Deduções declaradas sobre o imposto apurado.</t>
        </r>
      </text>
    </comment>
    <comment ref="B15" authorId="0">
      <text>
        <r>
          <rPr>
            <sz val="10"/>
            <rFont val="Arial"/>
            <family val="2"/>
          </rPr>
          <t>Imposto de Renda Retido na Fonte Declarado</t>
        </r>
      </text>
    </comment>
    <comment ref="D16" authorId="0">
      <text>
        <r>
          <rPr>
            <sz val="10"/>
            <rFont val="Arial"/>
            <family val="2"/>
          </rPr>
          <t xml:space="preserve">Resultado da Ficha de Rendimentos Recebidos Acumuladamente </t>
        </r>
      </text>
    </comment>
    <comment ref="B20" authorId="0">
      <text>
        <r>
          <rPr>
            <sz val="10"/>
            <rFont val="Arial"/>
            <family val="2"/>
          </rPr>
          <t>Marcar em caso de Declaração de Ajuste na modalidade simplificada.</t>
        </r>
      </text>
    </comment>
    <comment ref="B42" authorId="0">
      <text>
        <r>
          <rPr>
            <sz val="10"/>
            <rFont val="Arial"/>
            <family val="2"/>
          </rPr>
          <t>Imposto de renda retido na fonte</t>
        </r>
      </text>
    </comment>
  </commentList>
</comments>
</file>

<file path=xl/sharedStrings.xml><?xml version="1.0" encoding="utf-8"?>
<sst xmlns="http://schemas.openxmlformats.org/spreadsheetml/2006/main" count="427" uniqueCount="115">
  <si>
    <t>RECEITA FEDERAL DO BRASIL</t>
  </si>
  <si>
    <t>INSTRUÇÃO NORMATIVA RFB Nº 1.343/2013</t>
  </si>
  <si>
    <r>
      <t>Planilha de Cálculo</t>
    </r>
    <r>
      <rPr>
        <b/>
        <sz val="10"/>
        <rFont val="Tahoma"/>
        <family val="2"/>
      </rPr>
      <t xml:space="preserve"> (art. 3º, §3º)
</t>
    </r>
    <r>
      <rPr>
        <b/>
        <u val="single"/>
        <sz val="16"/>
        <rFont val="Tahoma"/>
        <family val="2"/>
      </rPr>
      <t>Orientações Gerais</t>
    </r>
  </si>
  <si>
    <t>IMPORTANTE</t>
  </si>
  <si>
    <r>
      <t xml:space="preserve">Esta planilha destina-se exclusivamente aos </t>
    </r>
    <r>
      <rPr>
        <b/>
        <u val="single"/>
        <sz val="11"/>
        <rFont val="Tahoma"/>
        <family val="2"/>
      </rPr>
      <t>beneficiários que passaram a receber complementação de aposentadoria nos últimos cinco anos</t>
    </r>
    <r>
      <rPr>
        <b/>
        <sz val="11"/>
        <rFont val="Tahoma"/>
        <family val="2"/>
      </rPr>
      <t xml:space="preserve"> e que não tenham ação judicial em curso ou já executada.</t>
    </r>
  </si>
  <si>
    <t>INFORMAÇÕES NECESSÁRIAS</t>
  </si>
  <si>
    <t>#1a – Contribuições vertidas pelo próprio beneficiário para a formação do fundo de Previdência Complementar nos anos de 1989 a 1995; OU
#1b – Consolidação das contribuições indicadas em #1a na data da aposentadoria, fornecido pela Entidade de Previdência Complementar (§1º do art. 3º).</t>
  </si>
  <si>
    <t>#2a – Comprovantes de rendimentos anuais fornecidos pela Entidade de Previdência Complementar para os anos-calendário em que esta planilha indicar valores a exaurir; OU
#2b – Demonstrativo consolidado fornecido pela Entidade de Previdência Complementar (#1b) que também contenha informações relativas aos rendimentos de cada ano-calendário em que esta planilha indicar valores a exaurir.</t>
  </si>
  <si>
    <t>#3 – Declarações de ajuste anual de imposto de renda para os exercícios em que esta planilha indicar valores a exaurir.</t>
  </si>
  <si>
    <t>PREENCHIMENTO</t>
  </si>
  <si>
    <t>O preenchimento da planilha é efetuado nas células em com fundo amarelo, as demais células estão protegidas para edição.</t>
  </si>
  <si>
    <r>
      <t>Aplicação das Informações</t>
    </r>
    <r>
      <rPr>
        <b/>
        <sz val="9"/>
        <rFont val="Tahoma"/>
        <family val="2"/>
      </rPr>
      <t>:
Dados Gerais – Aba “Inicial – Resumo”.
#1a – Aba “I. Contribuições”; OU
#1b – Aba “Inicial – Resumo”, no quadro “Valor Atualizado das Contribuições”; neste caso a aba “I. Contribuições” não é utilizada.
#2a ou #2b – Aba “II. Exaurimento”; os valores de 13º salário são também utilizados no quadro específico da aba “III. Recálculo”.
#3 – Aba “III. Recálculo”.</t>
    </r>
  </si>
  <si>
    <t>PARA RESTITUIR OS SALDOS</t>
  </si>
  <si>
    <t>Os saldos são indicados na aba “III. Recálculo”, e para serem restituídos, o beneficiário deve adotar os seguintes procedimentos:</t>
  </si>
  <si>
    <r>
      <t>Saldo [a]</t>
    </r>
    <r>
      <rPr>
        <b/>
        <sz val="9"/>
        <rFont val="Tahoma"/>
        <family val="2"/>
      </rPr>
      <t xml:space="preserve"> – Apresentar/retificar, pela Internet, a correspondente Declaração de Ajuste Anual (art. 3º, §1º, da IN RFB nº 1.343/2013).</t>
    </r>
  </si>
  <si>
    <r>
      <t>Saldo [b]</t>
    </r>
    <r>
      <rPr>
        <b/>
        <sz val="9"/>
        <rFont val="Tahoma"/>
        <family val="2"/>
      </rPr>
      <t xml:space="preserve"> – Retificar a correspondente Declaração de Ajuste Anual e apresentar, pela Internet, “Pedido de Restituição, Ressarcimento ou Reembolso” (PER) ou “Declaração de Compensação” (DCOMP), com o auxílio do programa PER/DCOMP, nos termos dos artigos 2º, I, e 3º, §1º, da IN RFB nº 1.300/2012 (art. 3º, §6º, da IN RFB nº 1.343/2013).</t>
    </r>
  </si>
  <si>
    <r>
      <t>Saldo [c]</t>
    </r>
    <r>
      <rPr>
        <b/>
        <sz val="9"/>
        <rFont val="Tahoma"/>
        <family val="2"/>
      </rPr>
      <t xml:space="preserve"> – Apresentar, na RFB, formulário “Pedido de Restituição ou Ressarcimento”, Anexo I da IN RFB nº 1.300/2012, nos termos do artigo 3º, §2º, da IN RFB nº 1.300/2012 (art. 3º, §8º, da IN RFB nº 1.343/2013).</t>
    </r>
  </si>
  <si>
    <t>O processamento das declarações de ajuste anual retificadas pode resultar em retenção em malha fiscal. Neste caso, o beneficiário pode solicitar, pela Internet, a antecipação do tratamento de sua(s) declaração(ôes), quando deverá entregar a documentação utilizada para o preenchimento desta planilha.
Após os necessários processamentos dos documentos apresentados pelo beneficiários à Receita Federal, os valores reconhecidos pela Administração Tributária, em procedimento interno de análise, serão creditados em sua conta bancária.</t>
  </si>
  <si>
    <t>Tratamento tributário relativo à apuração do Imposto de Renda Pessoa Física (IRPF) aplicável aos valores pagos ou creditados por entidade de previdência complementar a título de complementação de aposentadoria, resgate e rateio de patrimônio, correspondente às contribuições efetuadas, exclusivamente pelo beneficiário, no período de 1º de janeiro de 1989 a 31 de dezembro de 1995.</t>
  </si>
  <si>
    <t>Contribuinte:</t>
  </si>
  <si>
    <t>CPF:</t>
  </si>
  <si>
    <t>Fonte Pagadora:</t>
  </si>
  <si>
    <t>CNPJ:</t>
  </si>
  <si>
    <t>Data de Consolidação:</t>
  </si>
  <si>
    <r>
      <t xml:space="preserve">Valor Atualizado das Contribuições
</t>
    </r>
    <r>
      <rPr>
        <sz val="10"/>
        <rFont val="Arial"/>
        <family val="2"/>
      </rPr>
      <t>Art. 3º, § 1º, IN RFB nº 1.343/2013</t>
    </r>
  </si>
  <si>
    <t>Refe</t>
  </si>
  <si>
    <t>Consolidação Contribuições Vertidas pelo Beneficiário 1989/1995</t>
  </si>
  <si>
    <t>Referência:</t>
  </si>
  <si>
    <t>Valor Consolidado:</t>
  </si>
  <si>
    <r>
      <t xml:space="preserve">Se o campo </t>
    </r>
    <r>
      <rPr>
        <b/>
        <sz val="10"/>
        <rFont val="Arial"/>
        <family val="2"/>
      </rPr>
      <t>“Valor Consolidado”</t>
    </r>
    <r>
      <rPr>
        <sz val="10"/>
        <rFont val="Arial"/>
        <family val="2"/>
      </rPr>
      <t xml:space="preserve"> não for preenchido, deve-se preencher a tabela
</t>
    </r>
    <r>
      <rPr>
        <b/>
        <sz val="10"/>
        <rFont val="Arial"/>
        <family val="2"/>
      </rPr>
      <t>“I. Contribuições”</t>
    </r>
    <r>
      <rPr>
        <sz val="10"/>
        <rFont val="Arial"/>
        <family val="2"/>
      </rPr>
      <t>, que calcula este valor a partir das contribuições originais.</t>
    </r>
  </si>
  <si>
    <t>Resumo de Exaurimento e Resultado (Valores Originais)</t>
  </si>
  <si>
    <t>Ano
Exercício</t>
  </si>
  <si>
    <t>Saldo de Contribuições</t>
  </si>
  <si>
    <t>Exaurimento</t>
  </si>
  <si>
    <t>Resultado (IR)</t>
  </si>
  <si>
    <t>Ano</t>
  </si>
  <si>
    <t>Inicial</t>
  </si>
  <si>
    <t>Final</t>
  </si>
  <si>
    <t>Anual</t>
  </si>
  <si>
    <t>13º Salário</t>
  </si>
  <si>
    <t>Ajuste Anual</t>
  </si>
  <si>
    <t>É informado Valor Consolidado?</t>
  </si>
  <si>
    <t>2008/2009</t>
  </si>
  <si>
    <t>2009/2010</t>
  </si>
  <si>
    <t>2010/2011</t>
  </si>
  <si>
    <t>2011/2012</t>
  </si>
  <si>
    <t>2012/2013</t>
  </si>
  <si>
    <t>2013/2014</t>
  </si>
  <si>
    <t>2014/2015</t>
  </si>
  <si>
    <t>2015/2016</t>
  </si>
  <si>
    <t>Observações:</t>
  </si>
  <si>
    <t>1) Não deve haver aproveitamento anterior ou ação judicial em andamento.
2) Em caso da aplicação para períodos em que já houve retenção/pagamento de imposto de renda, a restituição do “Resultado” deverá obedecer as orientações constantes no Demonstrativo de Recálculo.</t>
  </si>
  <si>
    <t>Nome do Responsável</t>
  </si>
  <si>
    <t>Identificação do Responsável</t>
  </si>
  <si>
    <t>I. Demonstrativo das Contribuições, atualizadas até Janeiro/2008</t>
  </si>
  <si>
    <t>Responsável:</t>
  </si>
  <si>
    <t>Mês de Origem</t>
  </si>
  <si>
    <t>Contribuição Original</t>
  </si>
  <si>
    <t>Unidade Monetária</t>
  </si>
  <si>
    <t>Índ. art. 5º da IN RFB nº 1.343/2013</t>
  </si>
  <si>
    <t>Contrib. em  Jan/2008 (R$)</t>
  </si>
  <si>
    <t>Base</t>
  </si>
  <si>
    <t>Mensal</t>
  </si>
  <si>
    <t>Acumulado</t>
  </si>
  <si>
    <t>NCz$</t>
  </si>
  <si>
    <t>Cr$</t>
  </si>
  <si>
    <t>CR$</t>
  </si>
  <si>
    <t>R$</t>
  </si>
  <si>
    <t>Total das contribuições do autor de 89 a 95, corrigidas até Janeiro/2008:</t>
  </si>
  <si>
    <t>Tabelas Auxiliares de Atualização até janeiro/2008</t>
  </si>
  <si>
    <t>Observação: Valor do IPC acumulado em 2000, visto que inexiste variação da UFIR para janeiro/2001.</t>
  </si>
  <si>
    <t>II. Demonstrativo de Exaurimento das Contribuições</t>
  </si>
  <si>
    <t>Saldo Inicial</t>
  </si>
  <si>
    <t>Benefício
Recebido</t>
  </si>
  <si>
    <t>Exaurido</t>
  </si>
  <si>
    <t>Saldo Final</t>
  </si>
  <si>
    <t>IPCA-e</t>
  </si>
  <si>
    <t>Saldo Atualizado</t>
  </si>
  <si>
    <t>13º Sal.</t>
  </si>
  <si>
    <t>Saldo
Final</t>
  </si>
  <si>
    <t>Não Incidência Ajuste Anual:</t>
  </si>
  <si>
    <t>III. Demonstrativo de Recálculo</t>
  </si>
  <si>
    <t xml:space="preserve">          CPF:</t>
  </si>
  <si>
    <r>
      <t xml:space="preserve">Recálculo de Ajuste Anual – </t>
    </r>
    <r>
      <rPr>
        <b/>
        <sz val="10"/>
        <rFont val="Tahoma"/>
        <family val="2"/>
      </rPr>
      <t>Declaração Antes do Exaurimento</t>
    </r>
  </si>
  <si>
    <t>Exercício/Ano-Calendário</t>
  </si>
  <si>
    <t>2009/2008</t>
  </si>
  <si>
    <t>2010/2009</t>
  </si>
  <si>
    <t>2011/2010</t>
  </si>
  <si>
    <t>2012/2011</t>
  </si>
  <si>
    <t>2013/2012</t>
  </si>
  <si>
    <t>2014/2013</t>
  </si>
  <si>
    <t>2015/2014</t>
  </si>
  <si>
    <t>2016/2015</t>
  </si>
  <si>
    <t>Rendimentos Tributáveis</t>
  </si>
  <si>
    <t>Deduções</t>
  </si>
  <si>
    <t>Base de Cálculo</t>
  </si>
  <si>
    <t>Imposto</t>
  </si>
  <si>
    <t>Deduções Incentivo</t>
  </si>
  <si>
    <t>IR Devido</t>
  </si>
  <si>
    <t>IR Retido na Fonte</t>
  </si>
  <si>
    <t>RRA a Pagar(+)/Restituir(-)</t>
  </si>
  <si>
    <t>IR a Pagar(+)/Restituir(-)</t>
  </si>
  <si>
    <t>Declaração Após Exaurimento</t>
  </si>
  <si>
    <t>Declaração Simplificada</t>
  </si>
  <si>
    <t>Rend. Tributáveis Iniciais</t>
  </si>
  <si>
    <t>Não Incidência 89/95</t>
  </si>
  <si>
    <t>IR a Pagar(+)/Restituir Orig.(-)</t>
  </si>
  <si>
    <t>Saldo a Restituir (+) [a]</t>
  </si>
  <si>
    <t>Saldo a Restituir (+) [b]</t>
  </si>
  <si>
    <t>Recálculo do 13º Salário</t>
  </si>
  <si>
    <t>Ano-calendário</t>
  </si>
  <si>
    <t>Nova Base de Cálculo</t>
  </si>
  <si>
    <t>Imposto Devido</t>
  </si>
  <si>
    <t>Imposto Retido na Fonte</t>
  </si>
  <si>
    <t>Saldo a Restituir (+) [c]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</si>
</sst>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mmmm/yyyy"/>
    <numFmt numFmtId="173" formatCode="mmmm&quot; de &quot;yyyy"/>
    <numFmt numFmtId="174" formatCode="#,##0.00;[Red]\-[$R$]\ #,##0.00"/>
    <numFmt numFmtId="175" formatCode="[$R$-416]\ #,##0.00;[Red]\-[$R$-416]\ #,##0.00"/>
    <numFmt numFmtId="176" formatCode="#,##0.00\ ;&quot; -&quot;#,##0.00;&quot; -&quot;#\ ;@\ "/>
    <numFmt numFmtId="177" formatCode="d&quot; de &quot;mmmm&quot; de &quot;yyyy"/>
    <numFmt numFmtId="178" formatCode="mm/yy"/>
    <numFmt numFmtId="179" formatCode="#,##0.00\ ;&quot; (&quot;#,##0.00\);&quot; -&quot;#\ ;@\ "/>
    <numFmt numFmtId="180" formatCode="#,##0.0000\ ;&quot; (&quot;#,##0.0000\);&quot; -&quot;#\ ;@\ "/>
    <numFmt numFmtId="181" formatCode="mm/yyyy"/>
    <numFmt numFmtId="182" formatCode="0.000000"/>
    <numFmt numFmtId="183" formatCode="0.00000000"/>
    <numFmt numFmtId="184" formatCode="#,##0.0000\ ;\(#,##0.0000\)"/>
    <numFmt numFmtId="185" formatCode="#,##0.0000"/>
    <numFmt numFmtId="186" formatCode="0.0000"/>
    <numFmt numFmtId="187" formatCode="mmm"/>
    <numFmt numFmtId="188" formatCode="&quot;VERDADEIRO&quot;;&quot;VERDADEIRO&quot;;&quot;FALSO&quot;"/>
  </numFmts>
  <fonts count="70">
    <font>
      <sz val="10"/>
      <name val="SimSun"/>
      <family val="2"/>
    </font>
    <font>
      <sz val="10"/>
      <name val="Arial"/>
      <family val="0"/>
    </font>
    <font>
      <b/>
      <sz val="16"/>
      <name val="Tahoma"/>
      <family val="2"/>
    </font>
    <font>
      <sz val="12"/>
      <name val="Tahoma"/>
      <family val="2"/>
    </font>
    <font>
      <b/>
      <u val="single"/>
      <sz val="14"/>
      <name val="Tahoma"/>
      <family val="2"/>
    </font>
    <font>
      <b/>
      <sz val="10"/>
      <name val="Tahoma"/>
      <family val="2"/>
    </font>
    <font>
      <b/>
      <u val="single"/>
      <sz val="16"/>
      <name val="Tahoma"/>
      <family val="2"/>
    </font>
    <font>
      <b/>
      <u val="single"/>
      <sz val="9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2"/>
      <color indexed="18"/>
      <name val="Tahoma"/>
      <family val="2"/>
    </font>
    <font>
      <sz val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b/>
      <sz val="11"/>
      <color indexed="18"/>
      <name val="Tahoma"/>
      <family val="2"/>
    </font>
    <font>
      <b/>
      <sz val="10"/>
      <color indexed="20"/>
      <name val="Tahoma"/>
      <family val="2"/>
    </font>
    <font>
      <b/>
      <sz val="10"/>
      <name val="Arial"/>
      <family val="2"/>
    </font>
    <font>
      <sz val="11"/>
      <color indexed="18"/>
      <name val="Tahoma"/>
      <family val="2"/>
    </font>
    <font>
      <sz val="10.5"/>
      <name val="Tahoma"/>
      <family val="2"/>
    </font>
    <font>
      <sz val="10.5"/>
      <name val="Arial"/>
      <family val="2"/>
    </font>
    <font>
      <sz val="10"/>
      <color indexed="18"/>
      <name val="Tahoma"/>
      <family val="2"/>
    </font>
    <font>
      <sz val="8"/>
      <name val="Tahoma"/>
      <family val="2"/>
    </font>
    <font>
      <sz val="9"/>
      <color indexed="18"/>
      <name val="Tahoma"/>
      <family val="2"/>
    </font>
    <font>
      <sz val="9"/>
      <name val="Tahoma"/>
      <family val="2"/>
    </font>
    <font>
      <b/>
      <sz val="9"/>
      <color indexed="18"/>
      <name val="Tahoma"/>
      <family val="2"/>
    </font>
    <font>
      <b/>
      <sz val="9"/>
      <color indexed="8"/>
      <name val="Tahoma"/>
      <family val="2"/>
    </font>
    <font>
      <sz val="8"/>
      <name val="Arial"/>
      <family val="2"/>
    </font>
    <font>
      <sz val="8.5"/>
      <name val="Tahoma"/>
      <family val="2"/>
    </font>
    <font>
      <sz val="7.5"/>
      <color indexed="18"/>
      <name val="Tahoma"/>
      <family val="2"/>
    </font>
    <font>
      <sz val="7.5"/>
      <name val="Tahoma"/>
      <family val="2"/>
    </font>
    <font>
      <sz val="8.5"/>
      <color indexed="26"/>
      <name val="Tahoma"/>
      <family val="2"/>
    </font>
    <font>
      <b/>
      <sz val="8.5"/>
      <name val="Tahoma"/>
      <family val="2"/>
    </font>
    <font>
      <b/>
      <sz val="7.5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SimSu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8" fillId="29" borderId="1" applyNumberFormat="0" applyAlignment="0" applyProtection="0"/>
    <xf numFmtId="0" fontId="59" fillId="30" borderId="0" applyNumberFormat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61" fillId="21" borderId="5" applyNumberFormat="0" applyAlignment="0" applyProtection="0"/>
    <xf numFmtId="179" fontId="0" fillId="0" borderId="0" applyFill="0" applyBorder="0" applyAlignment="0" applyProtection="0"/>
    <xf numFmtId="169" fontId="1" fillId="0" borderId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</cellStyleXfs>
  <cellXfs count="219">
    <xf numFmtId="0" fontId="1" fillId="0" borderId="0" xfId="0" applyFont="1" applyAlignment="1">
      <alignment/>
    </xf>
    <xf numFmtId="0" fontId="10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4" fillId="0" borderId="0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1" fillId="0" borderId="0" xfId="0" applyFont="1" applyBorder="1" applyAlignment="1" applyProtection="1">
      <alignment horizontal="justify" vertical="center" wrapText="1"/>
      <protection/>
    </xf>
    <xf numFmtId="0" fontId="11" fillId="0" borderId="0" xfId="0" applyFont="1" applyAlignment="1" applyProtection="1">
      <alignment horizontal="justify" vertical="top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175" fontId="15" fillId="0" borderId="10" xfId="0" applyNumberFormat="1" applyFont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/>
      <protection/>
    </xf>
    <xf numFmtId="0" fontId="11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176" fontId="20" fillId="0" borderId="10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0" fillId="0" borderId="0" xfId="0" applyFont="1" applyBorder="1" applyAlignment="1" applyProtection="1">
      <alignment horizontal="right" wrapText="1"/>
      <protection/>
    </xf>
    <xf numFmtId="0" fontId="21" fillId="0" borderId="0" xfId="0" applyFont="1" applyBorder="1" applyAlignment="1" applyProtection="1">
      <alignment horizontal="right" wrapText="1"/>
      <protection/>
    </xf>
    <xf numFmtId="175" fontId="15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Border="1" applyAlignment="1" applyProtection="1">
      <alignment vertical="top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 horizontal="righ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NumberFormat="1" applyFont="1" applyBorder="1" applyAlignment="1" applyProtection="1">
      <alignment horizontal="left"/>
      <protection/>
    </xf>
    <xf numFmtId="180" fontId="10" fillId="0" borderId="10" xfId="51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/>
      <protection/>
    </xf>
    <xf numFmtId="181" fontId="10" fillId="0" borderId="10" xfId="0" applyNumberFormat="1" applyFont="1" applyBorder="1" applyAlignment="1" applyProtection="1">
      <alignment horizontal="center" vertical="center"/>
      <protection/>
    </xf>
    <xf numFmtId="176" fontId="24" fillId="33" borderId="10" xfId="51" applyNumberFormat="1" applyFont="1" applyFill="1" applyBorder="1" applyAlignment="1" applyProtection="1">
      <alignment vertical="center"/>
      <protection locked="0"/>
    </xf>
    <xf numFmtId="179" fontId="25" fillId="0" borderId="10" xfId="51" applyNumberFormat="1" applyFont="1" applyFill="1" applyBorder="1" applyAlignment="1" applyProtection="1">
      <alignment horizontal="center" vertical="center"/>
      <protection/>
    </xf>
    <xf numFmtId="10" fontId="25" fillId="0" borderId="10" xfId="51" applyNumberFormat="1" applyFont="1" applyFill="1" applyBorder="1" applyAlignment="1" applyProtection="1">
      <alignment horizontal="center" vertical="center"/>
      <protection/>
    </xf>
    <xf numFmtId="182" fontId="25" fillId="0" borderId="10" xfId="51" applyNumberFormat="1" applyFont="1" applyFill="1" applyBorder="1" applyAlignment="1" applyProtection="1">
      <alignment horizontal="center" vertical="center"/>
      <protection/>
    </xf>
    <xf numFmtId="183" fontId="25" fillId="0" borderId="10" xfId="51" applyNumberFormat="1" applyFont="1" applyFill="1" applyBorder="1" applyAlignment="1" applyProtection="1">
      <alignment horizontal="center" vertical="center"/>
      <protection/>
    </xf>
    <xf numFmtId="179" fontId="11" fillId="0" borderId="10" xfId="0" applyNumberFormat="1" applyFont="1" applyBorder="1" applyAlignment="1" applyProtection="1">
      <alignment vertical="center"/>
      <protection/>
    </xf>
    <xf numFmtId="179" fontId="24" fillId="33" borderId="10" xfId="51" applyNumberFormat="1" applyFont="1" applyFill="1" applyBorder="1" applyAlignment="1" applyProtection="1">
      <alignment vertical="center"/>
      <protection locked="0"/>
    </xf>
    <xf numFmtId="184" fontId="25" fillId="0" borderId="10" xfId="51" applyNumberFormat="1" applyFont="1" applyFill="1" applyBorder="1" applyAlignment="1" applyProtection="1">
      <alignment horizontal="center" vertical="center"/>
      <protection/>
    </xf>
    <xf numFmtId="10" fontId="11" fillId="0" borderId="10" xfId="0" applyNumberFormat="1" applyFont="1" applyFill="1" applyBorder="1" applyAlignment="1" applyProtection="1">
      <alignment horizontal="center" vertical="center"/>
      <protection/>
    </xf>
    <xf numFmtId="39" fontId="25" fillId="0" borderId="10" xfId="51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vertical="center"/>
      <protection/>
    </xf>
    <xf numFmtId="179" fontId="24" fillId="34" borderId="10" xfId="51" applyNumberFormat="1" applyFont="1" applyFill="1" applyBorder="1" applyAlignment="1" applyProtection="1">
      <alignment vertical="center"/>
      <protection/>
    </xf>
    <xf numFmtId="185" fontId="25" fillId="0" borderId="10" xfId="0" applyNumberFormat="1" applyFont="1" applyBorder="1" applyAlignment="1" applyProtection="1">
      <alignment horizontal="center" vertical="center"/>
      <protection/>
    </xf>
    <xf numFmtId="183" fontId="25" fillId="34" borderId="10" xfId="51" applyNumberFormat="1" applyFont="1" applyFill="1" applyBorder="1" applyAlignment="1" applyProtection="1">
      <alignment horizontal="center" vertical="center"/>
      <protection/>
    </xf>
    <xf numFmtId="179" fontId="11" fillId="34" borderId="10" xfId="0" applyNumberFormat="1" applyFont="1" applyFill="1" applyBorder="1" applyAlignment="1" applyProtection="1">
      <alignment vertical="center"/>
      <protection/>
    </xf>
    <xf numFmtId="186" fontId="25" fillId="0" borderId="10" xfId="0" applyNumberFormat="1" applyFont="1" applyBorder="1" applyAlignment="1" applyProtection="1">
      <alignment horizontal="center" vertical="center"/>
      <protection/>
    </xf>
    <xf numFmtId="10" fontId="25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/>
      <protection/>
    </xf>
    <xf numFmtId="174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 vertical="center"/>
      <protection/>
    </xf>
    <xf numFmtId="0" fontId="14" fillId="0" borderId="10" xfId="0" applyNumberFormat="1" applyFont="1" applyBorder="1" applyAlignment="1" applyProtection="1">
      <alignment horizontal="center" vertical="center" wrapText="1"/>
      <protection/>
    </xf>
    <xf numFmtId="179" fontId="10" fillId="0" borderId="10" xfId="51" applyNumberFormat="1" applyFont="1" applyFill="1" applyBorder="1" applyAlignment="1" applyProtection="1">
      <alignment horizontal="center" vertical="center" wrapText="1"/>
      <protection/>
    </xf>
    <xf numFmtId="10" fontId="10" fillId="0" borderId="10" xfId="0" applyNumberFormat="1" applyFont="1" applyBorder="1" applyAlignment="1" applyProtection="1">
      <alignment horizontal="center" vertical="center" wrapText="1"/>
      <protection/>
    </xf>
    <xf numFmtId="183" fontId="10" fillId="0" borderId="10" xfId="51" applyNumberFormat="1" applyFont="1" applyFill="1" applyBorder="1" applyAlignment="1" applyProtection="1">
      <alignment horizontal="center" vertical="center" wrapText="1"/>
      <protection/>
    </xf>
    <xf numFmtId="0" fontId="25" fillId="0" borderId="0" xfId="51" applyNumberFormat="1" applyFont="1" applyFill="1" applyBorder="1" applyAlignment="1" applyProtection="1">
      <alignment horizontal="center" vertical="center" wrapText="1"/>
      <protection/>
    </xf>
    <xf numFmtId="179" fontId="11" fillId="0" borderId="0" xfId="0" applyNumberFormat="1" applyFont="1" applyFill="1" applyBorder="1" applyAlignment="1" applyProtection="1">
      <alignment horizontal="center" vertical="center"/>
      <protection/>
    </xf>
    <xf numFmtId="187" fontId="10" fillId="0" borderId="10" xfId="0" applyNumberFormat="1" applyFont="1" applyBorder="1" applyAlignment="1" applyProtection="1">
      <alignment horizontal="center" vertical="center"/>
      <protection/>
    </xf>
    <xf numFmtId="176" fontId="25" fillId="0" borderId="10" xfId="51" applyNumberFormat="1" applyFont="1" applyFill="1" applyBorder="1" applyAlignment="1" applyProtection="1">
      <alignment vertical="center"/>
      <protection/>
    </xf>
    <xf numFmtId="179" fontId="25" fillId="34" borderId="12" xfId="51" applyNumberFormat="1" applyFont="1" applyFill="1" applyBorder="1" applyAlignment="1" applyProtection="1">
      <alignment vertical="center"/>
      <protection/>
    </xf>
    <xf numFmtId="179" fontId="25" fillId="34" borderId="13" xfId="51" applyNumberFormat="1" applyFont="1" applyFill="1" applyBorder="1" applyAlignment="1" applyProtection="1">
      <alignment vertical="center"/>
      <protection/>
    </xf>
    <xf numFmtId="179" fontId="25" fillId="34" borderId="14" xfId="51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Alignment="1" applyProtection="1">
      <alignment horizontal="center"/>
      <protection/>
    </xf>
    <xf numFmtId="179" fontId="25" fillId="34" borderId="11" xfId="51" applyNumberFormat="1" applyFont="1" applyFill="1" applyBorder="1" applyAlignment="1" applyProtection="1">
      <alignment vertical="center"/>
      <protection/>
    </xf>
    <xf numFmtId="179" fontId="25" fillId="34" borderId="0" xfId="51" applyNumberFormat="1" applyFont="1" applyFill="1" applyBorder="1" applyAlignment="1" applyProtection="1">
      <alignment vertical="center"/>
      <protection/>
    </xf>
    <xf numFmtId="179" fontId="25" fillId="34" borderId="15" xfId="51" applyNumberFormat="1" applyFont="1" applyFill="1" applyBorder="1" applyAlignment="1" applyProtection="1">
      <alignment vertical="center"/>
      <protection/>
    </xf>
    <xf numFmtId="179" fontId="25" fillId="34" borderId="16" xfId="51" applyNumberFormat="1" applyFont="1" applyFill="1" applyBorder="1" applyAlignment="1" applyProtection="1">
      <alignment vertical="center"/>
      <protection/>
    </xf>
    <xf numFmtId="179" fontId="25" fillId="34" borderId="17" xfId="51" applyNumberFormat="1" applyFont="1" applyFill="1" applyBorder="1" applyAlignment="1" applyProtection="1">
      <alignment vertical="center"/>
      <protection/>
    </xf>
    <xf numFmtId="179" fontId="25" fillId="34" borderId="18" xfId="51" applyNumberFormat="1" applyFont="1" applyFill="1" applyBorder="1" applyAlignment="1" applyProtection="1">
      <alignment vertical="center"/>
      <protection/>
    </xf>
    <xf numFmtId="176" fontId="26" fillId="33" borderId="10" xfId="51" applyNumberFormat="1" applyFont="1" applyFill="1" applyBorder="1" applyAlignment="1" applyProtection="1">
      <alignment vertical="center"/>
      <protection locked="0"/>
    </xf>
    <xf numFmtId="176" fontId="27" fillId="0" borderId="10" xfId="51" applyNumberFormat="1" applyFont="1" applyFill="1" applyBorder="1" applyAlignment="1" applyProtection="1">
      <alignment vertical="center"/>
      <protection/>
    </xf>
    <xf numFmtId="10" fontId="25" fillId="34" borderId="19" xfId="0" applyNumberFormat="1" applyFont="1" applyFill="1" applyBorder="1" applyAlignment="1" applyProtection="1">
      <alignment horizontal="center" vertical="center"/>
      <protection/>
    </xf>
    <xf numFmtId="179" fontId="25" fillId="34" borderId="20" xfId="51" applyNumberFormat="1" applyFont="1" applyFill="1" applyBorder="1" applyAlignment="1" applyProtection="1">
      <alignment vertical="center"/>
      <protection/>
    </xf>
    <xf numFmtId="179" fontId="11" fillId="0" borderId="0" xfId="0" applyNumberFormat="1" applyFont="1" applyFill="1" applyBorder="1" applyAlignment="1" applyProtection="1">
      <alignment vertical="center"/>
      <protection/>
    </xf>
    <xf numFmtId="181" fontId="10" fillId="0" borderId="21" xfId="0" applyNumberFormat="1" applyFont="1" applyBorder="1" applyAlignment="1" applyProtection="1">
      <alignment horizontal="center" vertical="center"/>
      <protection/>
    </xf>
    <xf numFmtId="179" fontId="25" fillId="0" borderId="21" xfId="51" applyNumberFormat="1" applyFont="1" applyFill="1" applyBorder="1" applyAlignment="1" applyProtection="1">
      <alignment vertical="center"/>
      <protection/>
    </xf>
    <xf numFmtId="179" fontId="26" fillId="0" borderId="21" xfId="51" applyNumberFormat="1" applyFont="1" applyFill="1" applyBorder="1" applyAlignment="1" applyProtection="1">
      <alignment vertical="center"/>
      <protection/>
    </xf>
    <xf numFmtId="10" fontId="25" fillId="0" borderId="21" xfId="0" applyNumberFormat="1" applyFont="1" applyBorder="1" applyAlignment="1" applyProtection="1">
      <alignment horizontal="center" vertical="center"/>
      <protection/>
    </xf>
    <xf numFmtId="10" fontId="25" fillId="0" borderId="10" xfId="0" applyNumberFormat="1" applyFont="1" applyBorder="1" applyAlignment="1" applyProtection="1">
      <alignment horizontal="center"/>
      <protection/>
    </xf>
    <xf numFmtId="181" fontId="10" fillId="0" borderId="13" xfId="0" applyNumberFormat="1" applyFont="1" applyBorder="1" applyAlignment="1" applyProtection="1">
      <alignment horizontal="center" vertical="center"/>
      <protection/>
    </xf>
    <xf numFmtId="179" fontId="25" fillId="0" borderId="13" xfId="51" applyNumberFormat="1" applyFont="1" applyFill="1" applyBorder="1" applyAlignment="1" applyProtection="1">
      <alignment vertical="center"/>
      <protection/>
    </xf>
    <xf numFmtId="179" fontId="26" fillId="0" borderId="13" xfId="51" applyNumberFormat="1" applyFont="1" applyFill="1" applyBorder="1" applyAlignment="1" applyProtection="1">
      <alignment vertical="center"/>
      <protection/>
    </xf>
    <xf numFmtId="10" fontId="25" fillId="0" borderId="13" xfId="0" applyNumberFormat="1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179" fontId="25" fillId="0" borderId="10" xfId="0" applyNumberFormat="1" applyFont="1" applyFill="1" applyBorder="1" applyAlignment="1" applyProtection="1">
      <alignment horizontal="right" vertical="center" wrapText="1"/>
      <protection/>
    </xf>
    <xf numFmtId="179" fontId="25" fillId="0" borderId="10" xfId="0" applyNumberFormat="1" applyFont="1" applyFill="1" applyBorder="1" applyAlignment="1" applyProtection="1">
      <alignment vertical="center"/>
      <protection/>
    </xf>
    <xf numFmtId="176" fontId="25" fillId="0" borderId="10" xfId="0" applyNumberFormat="1" applyFont="1" applyBorder="1" applyAlignment="1" applyProtection="1">
      <alignment vertical="center"/>
      <protection/>
    </xf>
    <xf numFmtId="179" fontId="25" fillId="0" borderId="10" xfId="0" applyNumberFormat="1" applyFont="1" applyBorder="1" applyAlignment="1" applyProtection="1">
      <alignment vertical="center"/>
      <protection/>
    </xf>
    <xf numFmtId="10" fontId="25" fillId="34" borderId="12" xfId="0" applyNumberFormat="1" applyFont="1" applyFill="1" applyBorder="1" applyAlignment="1" applyProtection="1">
      <alignment horizontal="center" vertical="center"/>
      <protection/>
    </xf>
    <xf numFmtId="179" fontId="5" fillId="0" borderId="10" xfId="0" applyNumberFormat="1" applyFont="1" applyFill="1" applyBorder="1" applyAlignment="1" applyProtection="1">
      <alignment vertical="center"/>
      <protection/>
    </xf>
    <xf numFmtId="176" fontId="25" fillId="34" borderId="19" xfId="51" applyNumberFormat="1" applyFont="1" applyFill="1" applyBorder="1" applyAlignment="1" applyProtection="1">
      <alignment vertical="center"/>
      <protection/>
    </xf>
    <xf numFmtId="10" fontId="25" fillId="34" borderId="17" xfId="0" applyNumberFormat="1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79" fontId="10" fillId="0" borderId="1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28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>
      <alignment horizontal="left" vertical="center"/>
    </xf>
    <xf numFmtId="3" fontId="11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horizontal="left" vertical="center"/>
    </xf>
    <xf numFmtId="0" fontId="29" fillId="0" borderId="10" xfId="0" applyFont="1" applyFill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16" fontId="29" fillId="0" borderId="10" xfId="0" applyNumberFormat="1" applyFont="1" applyFill="1" applyBorder="1" applyAlignment="1">
      <alignment horizontal="center" vertical="center"/>
    </xf>
    <xf numFmtId="0" fontId="29" fillId="35" borderId="10" xfId="0" applyFont="1" applyFill="1" applyBorder="1" applyAlignment="1">
      <alignment vertical="center"/>
    </xf>
    <xf numFmtId="176" fontId="30" fillId="33" borderId="10" xfId="0" applyNumberFormat="1" applyFont="1" applyFill="1" applyBorder="1" applyAlignment="1" applyProtection="1">
      <alignment vertical="center"/>
      <protection locked="0"/>
    </xf>
    <xf numFmtId="176" fontId="30" fillId="33" borderId="10" xfId="0" applyNumberFormat="1" applyFont="1" applyFill="1" applyBorder="1" applyAlignment="1" applyProtection="1">
      <alignment horizontal="right" vertical="center"/>
      <protection locked="0"/>
    </xf>
    <xf numFmtId="0" fontId="29" fillId="0" borderId="10" xfId="0" applyFont="1" applyFill="1" applyBorder="1" applyAlignment="1">
      <alignment vertical="center"/>
    </xf>
    <xf numFmtId="176" fontId="31" fillId="0" borderId="10" xfId="0" applyNumberFormat="1" applyFont="1" applyFill="1" applyBorder="1" applyAlignment="1">
      <alignment vertical="center"/>
    </xf>
    <xf numFmtId="176" fontId="31" fillId="0" borderId="10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 applyProtection="1">
      <alignment vertical="center"/>
      <protection/>
    </xf>
    <xf numFmtId="4" fontId="31" fillId="34" borderId="10" xfId="0" applyNumberFormat="1" applyFont="1" applyFill="1" applyBorder="1" applyAlignment="1" applyProtection="1">
      <alignment vertical="center"/>
      <protection/>
    </xf>
    <xf numFmtId="0" fontId="29" fillId="0" borderId="10" xfId="0" applyFont="1" applyFill="1" applyBorder="1" applyAlignment="1">
      <alignment horizontal="left" vertical="center"/>
    </xf>
    <xf numFmtId="188" fontId="32" fillId="33" borderId="10" xfId="0" applyNumberFormat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>
      <alignment vertical="center"/>
    </xf>
    <xf numFmtId="176" fontId="34" fillId="0" borderId="10" xfId="0" applyNumberFormat="1" applyFont="1" applyFill="1" applyBorder="1" applyAlignment="1">
      <alignment horizontal="right" vertical="center"/>
    </xf>
    <xf numFmtId="176" fontId="34" fillId="0" borderId="10" xfId="0" applyNumberFormat="1" applyFont="1" applyFill="1" applyBorder="1" applyAlignment="1">
      <alignment vertical="center"/>
    </xf>
    <xf numFmtId="179" fontId="31" fillId="34" borderId="10" xfId="0" applyNumberFormat="1" applyFont="1" applyFill="1" applyBorder="1" applyAlignment="1">
      <alignment horizontal="right" vertical="center"/>
    </xf>
    <xf numFmtId="0" fontId="29" fillId="0" borderId="10" xfId="0" applyFont="1" applyFill="1" applyBorder="1" applyAlignment="1" applyProtection="1">
      <alignment horizontal="left" vertical="center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176" fontId="30" fillId="0" borderId="10" xfId="0" applyNumberFormat="1" applyFont="1" applyFill="1" applyBorder="1" applyAlignment="1" applyProtection="1">
      <alignment horizontal="right" vertical="center"/>
      <protection/>
    </xf>
    <xf numFmtId="176" fontId="30" fillId="0" borderId="10" xfId="0" applyNumberFormat="1" applyFont="1" applyFill="1" applyBorder="1" applyAlignment="1" applyProtection="1">
      <alignment vertical="center"/>
      <protection/>
    </xf>
    <xf numFmtId="176" fontId="34" fillId="0" borderId="10" xfId="0" applyNumberFormat="1" applyFont="1" applyFill="1" applyBorder="1" applyAlignment="1" applyProtection="1">
      <alignment vertical="center"/>
      <protection/>
    </xf>
    <xf numFmtId="176" fontId="31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 wrapText="1" readingOrder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22" fillId="33" borderId="0" xfId="0" applyFont="1" applyFill="1" applyBorder="1" applyAlignment="1" applyProtection="1">
      <alignment horizontal="left" vertical="top" wrapText="1"/>
      <protection locked="0"/>
    </xf>
    <xf numFmtId="0" fontId="12" fillId="33" borderId="0" xfId="0" applyFont="1" applyFill="1" applyBorder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center"/>
      <protection locked="0"/>
    </xf>
    <xf numFmtId="177" fontId="11" fillId="0" borderId="0" xfId="0" applyNumberFormat="1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right" vertical="center"/>
      <protection/>
    </xf>
    <xf numFmtId="172" fontId="8" fillId="0" borderId="10" xfId="0" applyNumberFormat="1" applyFont="1" applyFill="1" applyBorder="1" applyAlignment="1" applyProtection="1">
      <alignment horizontal="center" vertical="center"/>
      <protection/>
    </xf>
    <xf numFmtId="173" fontId="5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right" vertical="center" wrapText="1"/>
      <protection/>
    </xf>
    <xf numFmtId="174" fontId="8" fillId="0" borderId="10" xfId="0" applyNumberFormat="1" applyFont="1" applyFill="1" applyBorder="1" applyAlignment="1" applyProtection="1">
      <alignment horizontal="right" vertical="center" wrapText="1"/>
      <protection/>
    </xf>
    <xf numFmtId="4" fontId="19" fillId="33" borderId="1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right" vertical="center"/>
      <protection/>
    </xf>
    <xf numFmtId="0" fontId="16" fillId="33" borderId="0" xfId="0" applyFont="1" applyFill="1" applyBorder="1" applyAlignment="1" applyProtection="1">
      <alignment horizontal="left"/>
      <protection locked="0"/>
    </xf>
    <xf numFmtId="172" fontId="16" fillId="33" borderId="0" xfId="0" applyNumberFormat="1" applyFont="1" applyFill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justify" vertical="top" wrapText="1"/>
      <protection/>
    </xf>
    <xf numFmtId="0" fontId="3" fillId="0" borderId="0" xfId="0" applyFont="1" applyBorder="1" applyAlignment="1" applyProtection="1">
      <alignment horizontal="right"/>
      <protection/>
    </xf>
    <xf numFmtId="0" fontId="12" fillId="33" borderId="0" xfId="0" applyFont="1" applyFill="1" applyBorder="1" applyAlignment="1" applyProtection="1">
      <alignment horizontal="left"/>
      <protection locked="0"/>
    </xf>
    <xf numFmtId="178" fontId="10" fillId="0" borderId="10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/>
      <protection/>
    </xf>
    <xf numFmtId="178" fontId="10" fillId="0" borderId="10" xfId="0" applyNumberFormat="1" applyFont="1" applyBorder="1" applyAlignment="1" applyProtection="1">
      <alignment horizontal="center" vertical="center" wrapText="1"/>
      <protection/>
    </xf>
    <xf numFmtId="179" fontId="10" fillId="0" borderId="10" xfId="51" applyFont="1" applyFill="1" applyBorder="1" applyAlignment="1" applyProtection="1">
      <alignment horizontal="center" vertical="center" wrapText="1"/>
      <protection/>
    </xf>
    <xf numFmtId="180" fontId="10" fillId="0" borderId="10" xfId="51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G23" sqref="G23"/>
    </sheetView>
  </sheetViews>
  <sheetFormatPr defaultColWidth="11.625" defaultRowHeight="12.75"/>
  <sheetData>
    <row r="1" spans="1:7" ht="19.5">
      <c r="A1" s="171" t="s">
        <v>0</v>
      </c>
      <c r="B1" s="171"/>
      <c r="C1" s="171"/>
      <c r="D1" s="171"/>
      <c r="E1" s="171"/>
      <c r="F1" s="171"/>
      <c r="G1" s="171"/>
    </row>
    <row r="2" spans="1:7" ht="15">
      <c r="A2" s="172" t="s">
        <v>1</v>
      </c>
      <c r="B2" s="172"/>
      <c r="C2" s="172"/>
      <c r="D2" s="172"/>
      <c r="E2" s="172"/>
      <c r="F2" s="172"/>
      <c r="G2" s="172"/>
    </row>
    <row r="3" spans="1:7" ht="69.75" customHeight="1">
      <c r="A3" s="173" t="s">
        <v>2</v>
      </c>
      <c r="B3" s="173"/>
      <c r="C3" s="173"/>
      <c r="D3" s="173"/>
      <c r="E3" s="173"/>
      <c r="F3" s="173"/>
      <c r="G3" s="173"/>
    </row>
    <row r="4" spans="1:7" ht="16.5" customHeight="1">
      <c r="A4" s="166" t="s">
        <v>3</v>
      </c>
      <c r="B4" s="166"/>
      <c r="C4" s="166"/>
      <c r="D4" s="166"/>
      <c r="E4" s="166"/>
      <c r="F4" s="166"/>
      <c r="G4" s="166"/>
    </row>
    <row r="5" spans="1:7" ht="48.75" customHeight="1">
      <c r="A5" s="174" t="s">
        <v>4</v>
      </c>
      <c r="B5" s="174"/>
      <c r="C5" s="174"/>
      <c r="D5" s="174"/>
      <c r="E5" s="174"/>
      <c r="F5" s="174"/>
      <c r="G5" s="174"/>
    </row>
    <row r="6" spans="1:7" ht="16.5" customHeight="1">
      <c r="A6" s="166" t="s">
        <v>5</v>
      </c>
      <c r="B6" s="166"/>
      <c r="C6" s="166"/>
      <c r="D6" s="166"/>
      <c r="E6" s="166"/>
      <c r="F6" s="166"/>
      <c r="G6" s="166"/>
    </row>
    <row r="7" spans="1:7" ht="48.75" customHeight="1">
      <c r="A7" s="169" t="s">
        <v>6</v>
      </c>
      <c r="B7" s="169"/>
      <c r="C7" s="169"/>
      <c r="D7" s="169"/>
      <c r="E7" s="169"/>
      <c r="F7" s="169"/>
      <c r="G7" s="169"/>
    </row>
    <row r="8" spans="1:7" ht="55.5" customHeight="1">
      <c r="A8" s="169" t="s">
        <v>7</v>
      </c>
      <c r="B8" s="169"/>
      <c r="C8" s="169"/>
      <c r="D8" s="169"/>
      <c r="E8" s="169"/>
      <c r="F8" s="169"/>
      <c r="G8" s="169"/>
    </row>
    <row r="9" spans="1:7" ht="26.25" customHeight="1">
      <c r="A9" s="169" t="s">
        <v>8</v>
      </c>
      <c r="B9" s="169"/>
      <c r="C9" s="169"/>
      <c r="D9" s="169"/>
      <c r="E9" s="169"/>
      <c r="F9" s="169"/>
      <c r="G9" s="169"/>
    </row>
    <row r="10" ht="13.5" customHeight="1">
      <c r="A10" s="1"/>
    </row>
    <row r="11" spans="1:7" ht="16.5" customHeight="1">
      <c r="A11" s="166" t="s">
        <v>9</v>
      </c>
      <c r="B11" s="166"/>
      <c r="C11" s="166"/>
      <c r="D11" s="166"/>
      <c r="E11" s="166"/>
      <c r="F11" s="166"/>
      <c r="G11" s="166"/>
    </row>
    <row r="12" spans="1:7" ht="28.5" customHeight="1">
      <c r="A12" s="167" t="s">
        <v>10</v>
      </c>
      <c r="B12" s="167"/>
      <c r="C12" s="167"/>
      <c r="D12" s="167"/>
      <c r="E12" s="167"/>
      <c r="F12" s="167"/>
      <c r="G12" s="167"/>
    </row>
    <row r="13" spans="1:7" ht="91.5" customHeight="1">
      <c r="A13" s="170" t="s">
        <v>11</v>
      </c>
      <c r="B13" s="170"/>
      <c r="C13" s="170"/>
      <c r="D13" s="170"/>
      <c r="E13" s="170"/>
      <c r="F13" s="170"/>
      <c r="G13" s="170"/>
    </row>
    <row r="14" ht="13.5" customHeight="1">
      <c r="A14" s="1"/>
    </row>
    <row r="15" spans="1:7" ht="17.25" customHeight="1">
      <c r="A15" s="166" t="s">
        <v>12</v>
      </c>
      <c r="B15" s="166"/>
      <c r="C15" s="166"/>
      <c r="D15" s="166"/>
      <c r="E15" s="166"/>
      <c r="F15" s="166"/>
      <c r="G15" s="166"/>
    </row>
    <row r="16" spans="1:7" ht="26.25" customHeight="1">
      <c r="A16" s="167" t="s">
        <v>13</v>
      </c>
      <c r="B16" s="167"/>
      <c r="C16" s="167"/>
      <c r="D16" s="167"/>
      <c r="E16" s="167"/>
      <c r="F16" s="167"/>
      <c r="G16" s="167"/>
    </row>
    <row r="17" spans="1:7" ht="25.5" customHeight="1">
      <c r="A17" s="168" t="s">
        <v>14</v>
      </c>
      <c r="B17" s="168"/>
      <c r="C17" s="168"/>
      <c r="D17" s="168"/>
      <c r="E17" s="168"/>
      <c r="F17" s="168"/>
      <c r="G17" s="168"/>
    </row>
    <row r="18" spans="1:7" ht="45.75" customHeight="1">
      <c r="A18" s="168" t="s">
        <v>15</v>
      </c>
      <c r="B18" s="168"/>
      <c r="C18" s="168"/>
      <c r="D18" s="168"/>
      <c r="E18" s="168"/>
      <c r="F18" s="168"/>
      <c r="G18" s="168"/>
    </row>
    <row r="19" spans="1:7" ht="34.5" customHeight="1">
      <c r="A19" s="168" t="s">
        <v>16</v>
      </c>
      <c r="B19" s="168"/>
      <c r="C19" s="168"/>
      <c r="D19" s="168"/>
      <c r="E19" s="168"/>
      <c r="F19" s="168"/>
      <c r="G19" s="168"/>
    </row>
    <row r="20" spans="1:7" ht="75" customHeight="1">
      <c r="A20" s="169" t="s">
        <v>17</v>
      </c>
      <c r="B20" s="169"/>
      <c r="C20" s="169"/>
      <c r="D20" s="169"/>
      <c r="E20" s="169"/>
      <c r="F20" s="169"/>
      <c r="G20" s="169"/>
    </row>
  </sheetData>
  <sheetProtection/>
  <mergeCells count="18">
    <mergeCell ref="A1:G1"/>
    <mergeCell ref="A2:G2"/>
    <mergeCell ref="A3:G3"/>
    <mergeCell ref="A4:G4"/>
    <mergeCell ref="A5:G5"/>
    <mergeCell ref="A6:G6"/>
    <mergeCell ref="A7:G7"/>
    <mergeCell ref="A8:G8"/>
    <mergeCell ref="A9:G9"/>
    <mergeCell ref="A11:G11"/>
    <mergeCell ref="A12:G12"/>
    <mergeCell ref="A13:G13"/>
    <mergeCell ref="A15:G15"/>
    <mergeCell ref="A16:G16"/>
    <mergeCell ref="A17:G17"/>
    <mergeCell ref="A18:G18"/>
    <mergeCell ref="A19:G19"/>
    <mergeCell ref="A20:G20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&amp;C&amp;"Arial,Normal"&amp;A</oddHeader>
    <oddFooter>&amp;C&amp;"Arial,Normal"Página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J25" sqref="J25"/>
    </sheetView>
  </sheetViews>
  <sheetFormatPr defaultColWidth="9.00390625" defaultRowHeight="12.75"/>
  <cols>
    <col min="1" max="1" width="11.375" style="2" customWidth="1"/>
    <col min="2" max="7" width="11.75390625" style="2" customWidth="1"/>
    <col min="8" max="8" width="9.125" style="2" customWidth="1"/>
    <col min="9" max="10" width="10.125" style="2" customWidth="1"/>
    <col min="11" max="11" width="10.75390625" style="2" customWidth="1"/>
    <col min="12" max="12" width="12.25390625" style="2" customWidth="1"/>
    <col min="13" max="16384" width="9.125" style="2" customWidth="1"/>
  </cols>
  <sheetData>
    <row r="1" spans="1:7" ht="21" customHeight="1">
      <c r="A1" s="171" t="s">
        <v>0</v>
      </c>
      <c r="B1" s="171"/>
      <c r="C1" s="171"/>
      <c r="D1" s="171"/>
      <c r="E1" s="171"/>
      <c r="F1" s="171"/>
      <c r="G1" s="171"/>
    </row>
    <row r="2" spans="1:7" ht="21" customHeight="1">
      <c r="A2" s="172" t="s">
        <v>1</v>
      </c>
      <c r="B2" s="172"/>
      <c r="C2" s="172"/>
      <c r="D2" s="172"/>
      <c r="E2" s="172"/>
      <c r="F2" s="172"/>
      <c r="G2" s="172"/>
    </row>
    <row r="3" spans="1:7" ht="67.5" customHeight="1">
      <c r="A3" s="197" t="s">
        <v>18</v>
      </c>
      <c r="B3" s="197"/>
      <c r="C3" s="197"/>
      <c r="D3" s="197"/>
      <c r="E3" s="197"/>
      <c r="F3" s="197"/>
      <c r="G3" s="197"/>
    </row>
    <row r="4" spans="1:7" s="5" customFormat="1" ht="14.25" customHeight="1">
      <c r="A4" s="198" t="s">
        <v>19</v>
      </c>
      <c r="B4" s="198"/>
      <c r="C4" s="199"/>
      <c r="D4" s="199"/>
      <c r="E4" s="199"/>
      <c r="F4" s="199"/>
      <c r="G4" s="4"/>
    </row>
    <row r="5" spans="1:7" s="5" customFormat="1" ht="14.25" customHeight="1">
      <c r="A5" s="198" t="s">
        <v>20</v>
      </c>
      <c r="B5" s="198"/>
      <c r="C5" s="199"/>
      <c r="D5" s="199"/>
      <c r="E5" s="199"/>
      <c r="F5" s="199"/>
      <c r="G5" s="4"/>
    </row>
    <row r="6" spans="1:7" s="5" customFormat="1" ht="3.75" customHeight="1">
      <c r="A6" s="3"/>
      <c r="B6" s="6"/>
      <c r="C6" s="7"/>
      <c r="D6" s="8"/>
      <c r="E6" s="8"/>
      <c r="F6" s="8"/>
      <c r="G6" s="4"/>
    </row>
    <row r="7" spans="1:7" s="5" customFormat="1" ht="14.25" customHeight="1">
      <c r="A7" s="194" t="s">
        <v>21</v>
      </c>
      <c r="B7" s="194"/>
      <c r="C7" s="195"/>
      <c r="D7" s="195"/>
      <c r="E7" s="195"/>
      <c r="F7" s="195"/>
      <c r="G7" s="4"/>
    </row>
    <row r="8" spans="1:7" s="5" customFormat="1" ht="14.25" customHeight="1">
      <c r="A8" s="194" t="s">
        <v>22</v>
      </c>
      <c r="B8" s="194"/>
      <c r="C8" s="195"/>
      <c r="D8" s="195"/>
      <c r="E8" s="195"/>
      <c r="F8" s="195"/>
      <c r="G8" s="4"/>
    </row>
    <row r="9" spans="1:7" ht="3.75" customHeight="1">
      <c r="A9" s="10"/>
      <c r="B9" s="10"/>
      <c r="C9" s="11"/>
      <c r="D9" s="11"/>
      <c r="E9" s="11"/>
      <c r="F9" s="11"/>
      <c r="G9" s="4"/>
    </row>
    <row r="10" spans="1:7" s="5" customFormat="1" ht="14.25" customHeight="1">
      <c r="A10" s="194" t="s">
        <v>23</v>
      </c>
      <c r="B10" s="194"/>
      <c r="C10" s="196">
        <v>39448</v>
      </c>
      <c r="D10" s="196"/>
      <c r="E10" s="196"/>
      <c r="F10" s="196"/>
      <c r="G10" s="4"/>
    </row>
    <row r="11" spans="1:12" s="12" customFormat="1" ht="13.5" customHeight="1">
      <c r="A11" s="185">
        <f>+IF(C10&lt;DATE(2008,1,1),"Não aplicável para início anterior a Janeiro/2008","")</f>
      </c>
      <c r="B11" s="185"/>
      <c r="C11" s="185"/>
      <c r="D11" s="185"/>
      <c r="E11" s="185"/>
      <c r="F11" s="185"/>
      <c r="G11" s="185"/>
      <c r="I11" s="186" t="s">
        <v>24</v>
      </c>
      <c r="J11" s="186"/>
      <c r="K11" s="186"/>
      <c r="L11" s="186"/>
    </row>
    <row r="12" spans="1:12" s="12" customFormat="1" ht="13.5" customHeight="1">
      <c r="A12" s="13"/>
      <c r="B12" s="14"/>
      <c r="C12" s="14"/>
      <c r="D12" s="14"/>
      <c r="E12" s="14"/>
      <c r="F12" s="14"/>
      <c r="G12" s="14"/>
      <c r="I12" s="186" t="s">
        <v>25</v>
      </c>
      <c r="J12" s="186"/>
      <c r="K12" s="186"/>
      <c r="L12" s="186"/>
    </row>
    <row r="13" spans="1:12" s="12" customFormat="1" ht="19.5" customHeight="1">
      <c r="A13" s="187" t="s">
        <v>26</v>
      </c>
      <c r="B13" s="187"/>
      <c r="C13" s="187"/>
      <c r="D13" s="187"/>
      <c r="E13" s="187"/>
      <c r="F13" s="187"/>
      <c r="G13" s="187"/>
      <c r="I13" s="188" t="str">
        <f>+A10</f>
        <v>Data de Consolidação:</v>
      </c>
      <c r="J13" s="188"/>
      <c r="K13" s="189">
        <f>+C10</f>
        <v>39448</v>
      </c>
      <c r="L13" s="189"/>
    </row>
    <row r="14" spans="1:12" s="12" customFormat="1" ht="18" customHeight="1">
      <c r="A14" s="15" t="s">
        <v>27</v>
      </c>
      <c r="B14" s="190">
        <f>+IF(L18,K13,'II. Exaurimento'!A13)</f>
        <v>39462</v>
      </c>
      <c r="C14" s="190"/>
      <c r="D14" s="191" t="s">
        <v>28</v>
      </c>
      <c r="E14" s="191"/>
      <c r="F14" s="192">
        <f>IF(L18,K14,B19)</f>
        <v>0</v>
      </c>
      <c r="G14" s="192">
        <f>+IF('I. Contribuições'!G99&gt;0,'I. Contribuições'!G99,0)</f>
        <v>0</v>
      </c>
      <c r="I14" s="188" t="s">
        <v>28</v>
      </c>
      <c r="J14" s="188"/>
      <c r="K14" s="193"/>
      <c r="L14" s="193"/>
    </row>
    <row r="15" spans="1:12" s="12" customFormat="1" ht="19.5" customHeight="1">
      <c r="A15" s="13"/>
      <c r="B15" s="14"/>
      <c r="C15" s="14"/>
      <c r="D15" s="14"/>
      <c r="E15" s="14"/>
      <c r="F15" s="14"/>
      <c r="G15" s="14"/>
      <c r="I15" s="181" t="s">
        <v>29</v>
      </c>
      <c r="J15" s="181"/>
      <c r="K15" s="181"/>
      <c r="L15" s="181"/>
    </row>
    <row r="16" spans="1:12" ht="19.5" customHeight="1">
      <c r="A16" s="182" t="s">
        <v>30</v>
      </c>
      <c r="B16" s="182"/>
      <c r="C16" s="182"/>
      <c r="D16" s="182"/>
      <c r="E16" s="182"/>
      <c r="F16" s="182"/>
      <c r="G16" s="182"/>
      <c r="I16" s="181"/>
      <c r="J16" s="181"/>
      <c r="K16" s="181"/>
      <c r="L16" s="181"/>
    </row>
    <row r="17" spans="1:12" ht="15.75" customHeight="1">
      <c r="A17" s="183" t="s">
        <v>31</v>
      </c>
      <c r="B17" s="183" t="s">
        <v>32</v>
      </c>
      <c r="C17" s="183"/>
      <c r="D17" s="183" t="s">
        <v>33</v>
      </c>
      <c r="E17" s="183"/>
      <c r="F17" s="183" t="s">
        <v>34</v>
      </c>
      <c r="G17" s="183"/>
      <c r="I17" s="181"/>
      <c r="J17" s="181"/>
      <c r="K17" s="181"/>
      <c r="L17" s="181"/>
    </row>
    <row r="18" spans="1:12" s="20" customFormat="1" ht="15.75" customHeight="1">
      <c r="A18" s="183" t="s">
        <v>35</v>
      </c>
      <c r="B18" s="16" t="s">
        <v>36</v>
      </c>
      <c r="C18" s="16" t="s">
        <v>37</v>
      </c>
      <c r="D18" s="16" t="s">
        <v>38</v>
      </c>
      <c r="E18" s="16" t="s">
        <v>39</v>
      </c>
      <c r="F18" s="16" t="s">
        <v>40</v>
      </c>
      <c r="G18" s="17" t="s">
        <v>39</v>
      </c>
      <c r="H18" s="18"/>
      <c r="I18" s="184" t="s">
        <v>41</v>
      </c>
      <c r="J18" s="184"/>
      <c r="K18" s="184"/>
      <c r="L18" s="19" t="b">
        <f>OR(AND(K14&lt;&gt;"",K14&lt;&gt;0),C10&lt;DATE(2008,1,1))</f>
        <v>0</v>
      </c>
    </row>
    <row r="19" spans="1:9" ht="13.5" customHeight="1">
      <c r="A19" s="16" t="s">
        <v>42</v>
      </c>
      <c r="B19" s="21">
        <f>+'II. Exaurimento'!B13</f>
        <v>0</v>
      </c>
      <c r="C19" s="21">
        <f>+'II. Exaurimento'!E25</f>
        <v>0</v>
      </c>
      <c r="D19" s="21">
        <f>+'II. Exaurimento'!D24</f>
        <v>0</v>
      </c>
      <c r="E19" s="21">
        <f>+'II. Exaurimento'!D25</f>
        <v>0</v>
      </c>
      <c r="F19" s="21">
        <f>+'III. Recálculo'!B33+'III. Recálculo'!B34</f>
        <v>0</v>
      </c>
      <c r="G19" s="21">
        <f>+'III. Recálculo'!B43</f>
        <v>0</v>
      </c>
      <c r="H19" s="22"/>
      <c r="I19" s="23"/>
    </row>
    <row r="20" spans="1:9" ht="13.5" customHeight="1">
      <c r="A20" s="16" t="s">
        <v>43</v>
      </c>
      <c r="B20" s="21">
        <f>+'II. Exaurimento'!B28</f>
        <v>0</v>
      </c>
      <c r="C20" s="21">
        <f>+'II. Exaurimento'!E40</f>
        <v>0</v>
      </c>
      <c r="D20" s="21">
        <f>+'II. Exaurimento'!D39</f>
        <v>0</v>
      </c>
      <c r="E20" s="21">
        <f>+'II. Exaurimento'!D40</f>
        <v>0</v>
      </c>
      <c r="F20" s="21">
        <f>+'III. Recálculo'!C33+'III. Recálculo'!C34</f>
        <v>0</v>
      </c>
      <c r="G20" s="21">
        <f>+'III. Recálculo'!C43</f>
        <v>0</v>
      </c>
      <c r="H20" s="22"/>
      <c r="I20" s="23"/>
    </row>
    <row r="21" spans="1:9" ht="13.5" customHeight="1">
      <c r="A21" s="16" t="s">
        <v>44</v>
      </c>
      <c r="B21" s="21">
        <f>+'II. Exaurimento'!B43</f>
        <v>0</v>
      </c>
      <c r="C21" s="21">
        <f>+'II. Exaurimento'!E55</f>
        <v>0</v>
      </c>
      <c r="D21" s="21">
        <f>+'II. Exaurimento'!D54</f>
        <v>0</v>
      </c>
      <c r="E21" s="21">
        <f>+'II. Exaurimento'!D55</f>
        <v>0</v>
      </c>
      <c r="F21" s="21">
        <f>+'III. Recálculo'!D33+'III. Recálculo'!D34</f>
        <v>0</v>
      </c>
      <c r="G21" s="21">
        <f>+'III. Recálculo'!D43</f>
        <v>0</v>
      </c>
      <c r="H21" s="22"/>
      <c r="I21" s="23"/>
    </row>
    <row r="22" spans="1:9" ht="13.5" customHeight="1">
      <c r="A22" s="16" t="s">
        <v>45</v>
      </c>
      <c r="B22" s="21">
        <f>+'II. Exaurimento'!B58</f>
        <v>0</v>
      </c>
      <c r="C22" s="21">
        <f>+'II. Exaurimento'!E70</f>
        <v>0</v>
      </c>
      <c r="D22" s="21">
        <f>+'II. Exaurimento'!D69</f>
        <v>0</v>
      </c>
      <c r="E22" s="21">
        <f>+'II. Exaurimento'!D70</f>
        <v>0</v>
      </c>
      <c r="F22" s="21">
        <f>+'III. Recálculo'!E33+'III. Recálculo'!E34</f>
        <v>0</v>
      </c>
      <c r="G22" s="21">
        <f>+'III. Recálculo'!E43</f>
        <v>0</v>
      </c>
      <c r="H22" s="22"/>
      <c r="I22" s="23"/>
    </row>
    <row r="23" spans="1:9" ht="13.5" customHeight="1">
      <c r="A23" s="16" t="s">
        <v>46</v>
      </c>
      <c r="B23" s="21">
        <f>+'II. Exaurimento'!B73</f>
        <v>0</v>
      </c>
      <c r="C23" s="21">
        <f>+'II. Exaurimento'!E85</f>
        <v>0</v>
      </c>
      <c r="D23" s="21">
        <f>+'II. Exaurimento'!D84</f>
        <v>0</v>
      </c>
      <c r="E23" s="21">
        <f>+'II. Exaurimento'!D85</f>
        <v>0</v>
      </c>
      <c r="F23" s="21">
        <f>+'III. Recálculo'!F33+'III. Recálculo'!F34</f>
        <v>0</v>
      </c>
      <c r="G23" s="21">
        <f>+'III. Recálculo'!F43</f>
        <v>0</v>
      </c>
      <c r="H23" s="22"/>
      <c r="I23" s="23"/>
    </row>
    <row r="24" spans="1:9" ht="13.5" customHeight="1">
      <c r="A24" s="16" t="s">
        <v>47</v>
      </c>
      <c r="B24" s="21">
        <f>+'II. Exaurimento'!B88</f>
        <v>0</v>
      </c>
      <c r="C24" s="21">
        <f>+'II. Exaurimento'!E101</f>
        <v>0</v>
      </c>
      <c r="D24" s="21">
        <f>+'II. Exaurimento'!D100</f>
        <v>0</v>
      </c>
      <c r="E24" s="21">
        <f>+'II. Exaurimento'!D101</f>
        <v>0</v>
      </c>
      <c r="F24" s="21">
        <f>+'III. Recálculo'!G33+'III. Recálculo'!G34</f>
        <v>0</v>
      </c>
      <c r="G24" s="21">
        <f>+'III. Recálculo'!G43</f>
        <v>0</v>
      </c>
      <c r="H24" s="22"/>
      <c r="I24" s="23"/>
    </row>
    <row r="25" spans="1:9" ht="13.5" customHeight="1">
      <c r="A25" s="16" t="s">
        <v>48</v>
      </c>
      <c r="B25" s="21">
        <f>+'II. Exaurimento'!B104</f>
        <v>0</v>
      </c>
      <c r="C25" s="21">
        <f>+'II. Exaurimento'!E117</f>
        <v>0</v>
      </c>
      <c r="D25" s="21">
        <f>+'II. Exaurimento'!D116</f>
        <v>0</v>
      </c>
      <c r="E25" s="21">
        <f>+'II. Exaurimento'!D117</f>
        <v>0</v>
      </c>
      <c r="F25" s="21">
        <f>+'III. Recálculo'!H33+'III. Recálculo'!H34</f>
        <v>0</v>
      </c>
      <c r="G25" s="21">
        <f>+'III. Recálculo'!H43</f>
        <v>0</v>
      </c>
      <c r="H25" s="22"/>
      <c r="I25" s="23"/>
    </row>
    <row r="26" spans="1:9" ht="13.5" customHeight="1">
      <c r="A26" s="16" t="s">
        <v>49</v>
      </c>
      <c r="B26" s="21">
        <f>+'II. Exaurimento'!B120</f>
        <v>0</v>
      </c>
      <c r="C26" s="21">
        <f>+'II. Exaurimento'!E133</f>
        <v>0</v>
      </c>
      <c r="D26" s="21">
        <f>+'II. Exaurimento'!D132</f>
        <v>0</v>
      </c>
      <c r="E26" s="21">
        <f>+'II. Exaurimento'!D133</f>
        <v>0</v>
      </c>
      <c r="F26" s="21">
        <f>+'III. Recálculo'!I33+'III. Recálculo'!I34</f>
        <v>0</v>
      </c>
      <c r="G26" s="21">
        <f>+'III. Recálculo'!I43</f>
        <v>0</v>
      </c>
      <c r="H26" s="22"/>
      <c r="I26" s="23"/>
    </row>
    <row r="27" spans="1:12" ht="15.75" customHeight="1">
      <c r="A27" s="24"/>
      <c r="B27" s="25"/>
      <c r="C27" s="25"/>
      <c r="D27" s="25"/>
      <c r="E27" s="25"/>
      <c r="F27" s="25"/>
      <c r="G27" s="26"/>
      <c r="H27" s="22"/>
      <c r="I27" s="27"/>
      <c r="J27" s="28"/>
      <c r="K27" s="12"/>
      <c r="L27" s="12"/>
    </row>
    <row r="28" spans="1:12" ht="15.75" customHeight="1">
      <c r="A28" s="175" t="s">
        <v>50</v>
      </c>
      <c r="B28" s="175"/>
      <c r="C28" s="25"/>
      <c r="D28" s="25"/>
      <c r="E28" s="25"/>
      <c r="F28" s="25"/>
      <c r="G28" s="26"/>
      <c r="H28" s="22"/>
      <c r="I28" s="27"/>
      <c r="J28" s="28"/>
      <c r="K28" s="12"/>
      <c r="L28" s="12"/>
    </row>
    <row r="29" spans="1:12" ht="51" customHeight="1">
      <c r="A29" s="176" t="s">
        <v>51</v>
      </c>
      <c r="B29" s="176"/>
      <c r="C29" s="176"/>
      <c r="D29" s="176"/>
      <c r="E29" s="176"/>
      <c r="F29" s="176"/>
      <c r="G29" s="176"/>
      <c r="H29" s="22"/>
      <c r="I29" s="27"/>
      <c r="J29" s="28"/>
      <c r="K29" s="12"/>
      <c r="L29" s="12"/>
    </row>
    <row r="30" spans="1:12" s="12" customFormat="1" ht="70.5" customHeight="1">
      <c r="A30" s="177"/>
      <c r="B30" s="177"/>
      <c r="C30" s="177"/>
      <c r="D30" s="177"/>
      <c r="E30" s="177"/>
      <c r="F30" s="177"/>
      <c r="G30" s="177"/>
      <c r="H30" s="29"/>
      <c r="I30" s="2"/>
      <c r="J30" s="2"/>
      <c r="K30" s="2"/>
      <c r="L30" s="2"/>
    </row>
    <row r="31" spans="1:7" ht="15">
      <c r="A31" s="178" t="s">
        <v>52</v>
      </c>
      <c r="B31" s="178"/>
      <c r="C31" s="178"/>
      <c r="D31" s="178"/>
      <c r="E31" s="178"/>
      <c r="F31" s="178"/>
      <c r="G31" s="178"/>
    </row>
    <row r="32" spans="1:7" ht="12.75">
      <c r="A32" s="179" t="s">
        <v>53</v>
      </c>
      <c r="B32" s="179"/>
      <c r="C32" s="179"/>
      <c r="D32" s="179"/>
      <c r="E32" s="179"/>
      <c r="F32" s="179"/>
      <c r="G32" s="179"/>
    </row>
    <row r="33" spans="1:7" ht="12.75">
      <c r="A33" s="180">
        <f ca="1">+NOW()</f>
        <v>41571.6509349537</v>
      </c>
      <c r="B33" s="180"/>
      <c r="C33" s="180"/>
      <c r="D33" s="180"/>
      <c r="E33" s="180"/>
      <c r="F33" s="180"/>
      <c r="G33" s="180"/>
    </row>
    <row r="44" spans="9:12" ht="15">
      <c r="I44" s="23"/>
      <c r="J44" s="23"/>
      <c r="K44" s="23"/>
      <c r="L44" s="23"/>
    </row>
    <row r="45" spans="1:7" s="23" customFormat="1" ht="15">
      <c r="A45" s="2"/>
      <c r="B45" s="2"/>
      <c r="C45" s="2"/>
      <c r="D45" s="2"/>
      <c r="E45" s="2"/>
      <c r="F45" s="2"/>
      <c r="G45" s="2"/>
    </row>
    <row r="46" spans="1:7" s="23" customFormat="1" ht="15">
      <c r="A46" s="2"/>
      <c r="B46" s="2"/>
      <c r="C46" s="2"/>
      <c r="D46" s="2"/>
      <c r="E46" s="2"/>
      <c r="F46" s="2"/>
      <c r="G46" s="2"/>
    </row>
    <row r="47" spans="1:7" s="23" customFormat="1" ht="15">
      <c r="A47" s="2"/>
      <c r="B47" s="2"/>
      <c r="C47" s="2"/>
      <c r="D47" s="2"/>
      <c r="E47" s="2"/>
      <c r="F47" s="2"/>
      <c r="G47" s="2"/>
    </row>
    <row r="48" spans="1:7" s="23" customFormat="1" ht="15">
      <c r="A48" s="2"/>
      <c r="B48" s="2"/>
      <c r="C48" s="2"/>
      <c r="D48" s="2"/>
      <c r="E48" s="2"/>
      <c r="F48" s="2"/>
      <c r="G48" s="2"/>
    </row>
    <row r="49" spans="1:7" s="23" customFormat="1" ht="15">
      <c r="A49" s="2"/>
      <c r="B49" s="2"/>
      <c r="C49" s="2"/>
      <c r="D49" s="2"/>
      <c r="E49" s="2"/>
      <c r="F49" s="2"/>
      <c r="G49" s="2"/>
    </row>
    <row r="50" spans="1:7" s="23" customFormat="1" ht="15">
      <c r="A50" s="2"/>
      <c r="B50" s="2"/>
      <c r="C50" s="2"/>
      <c r="D50" s="2"/>
      <c r="E50" s="2"/>
      <c r="F50" s="2"/>
      <c r="G50" s="2"/>
    </row>
    <row r="51" spans="1:7" s="23" customFormat="1" ht="15">
      <c r="A51" s="2"/>
      <c r="B51" s="2"/>
      <c r="C51" s="2"/>
      <c r="D51" s="2"/>
      <c r="E51" s="2"/>
      <c r="F51" s="2"/>
      <c r="G51" s="2"/>
    </row>
    <row r="52" spans="1:7" s="23" customFormat="1" ht="15">
      <c r="A52" s="2"/>
      <c r="B52" s="2"/>
      <c r="C52" s="2"/>
      <c r="D52" s="2"/>
      <c r="E52" s="2"/>
      <c r="F52" s="2"/>
      <c r="G52" s="2"/>
    </row>
    <row r="53" spans="1:7" s="23" customFormat="1" ht="15">
      <c r="A53" s="2"/>
      <c r="B53" s="2"/>
      <c r="C53" s="2"/>
      <c r="D53" s="2"/>
      <c r="E53" s="2"/>
      <c r="F53" s="2"/>
      <c r="G53" s="2"/>
    </row>
    <row r="54" spans="1:7" s="23" customFormat="1" ht="15">
      <c r="A54" s="2"/>
      <c r="B54" s="2"/>
      <c r="C54" s="2"/>
      <c r="D54" s="2"/>
      <c r="E54" s="2"/>
      <c r="F54" s="2"/>
      <c r="G54" s="2"/>
    </row>
    <row r="55" spans="1:7" s="23" customFormat="1" ht="15">
      <c r="A55" s="2"/>
      <c r="B55" s="2"/>
      <c r="C55" s="2"/>
      <c r="D55" s="2"/>
      <c r="E55" s="2"/>
      <c r="F55" s="2"/>
      <c r="G55" s="2"/>
    </row>
    <row r="56" spans="1:7" s="23" customFormat="1" ht="15">
      <c r="A56" s="2"/>
      <c r="B56" s="2"/>
      <c r="C56" s="2"/>
      <c r="D56" s="2"/>
      <c r="E56" s="2"/>
      <c r="F56" s="2"/>
      <c r="G56" s="2"/>
    </row>
    <row r="57" spans="1:7" s="23" customFormat="1" ht="15">
      <c r="A57" s="2"/>
      <c r="B57" s="2"/>
      <c r="C57" s="2"/>
      <c r="D57" s="2"/>
      <c r="E57" s="2"/>
      <c r="F57" s="2"/>
      <c r="G57" s="2"/>
    </row>
    <row r="58" spans="1:7" s="23" customFormat="1" ht="15">
      <c r="A58" s="2"/>
      <c r="B58" s="2"/>
      <c r="C58" s="2"/>
      <c r="D58" s="2"/>
      <c r="E58" s="2"/>
      <c r="F58" s="2"/>
      <c r="G58" s="2"/>
    </row>
    <row r="59" spans="1:7" s="23" customFormat="1" ht="15">
      <c r="A59" s="2"/>
      <c r="B59" s="2"/>
      <c r="C59" s="2"/>
      <c r="D59" s="2"/>
      <c r="E59" s="2"/>
      <c r="F59" s="2"/>
      <c r="G59" s="2"/>
    </row>
    <row r="60" spans="1:7" s="23" customFormat="1" ht="15">
      <c r="A60" s="2"/>
      <c r="B60" s="2"/>
      <c r="C60" s="2"/>
      <c r="D60" s="2"/>
      <c r="E60" s="2"/>
      <c r="F60" s="2"/>
      <c r="G60" s="2"/>
    </row>
    <row r="61" spans="1:7" s="23" customFormat="1" ht="15">
      <c r="A61" s="2"/>
      <c r="B61" s="2"/>
      <c r="C61" s="2"/>
      <c r="D61" s="2"/>
      <c r="E61" s="2"/>
      <c r="F61" s="2"/>
      <c r="G61" s="2"/>
    </row>
    <row r="62" spans="1:12" s="23" customFormat="1" ht="15">
      <c r="A62" s="2"/>
      <c r="B62" s="2"/>
      <c r="C62" s="2"/>
      <c r="D62" s="2"/>
      <c r="E62" s="2"/>
      <c r="F62" s="2"/>
      <c r="G62" s="2"/>
      <c r="I62" s="2"/>
      <c r="J62" s="2"/>
      <c r="K62" s="2"/>
      <c r="L62" s="2"/>
    </row>
  </sheetData>
  <sheetProtection sheet="1" objects="1" scenarios="1"/>
  <mergeCells count="36">
    <mergeCell ref="A1:G1"/>
    <mergeCell ref="A2:G2"/>
    <mergeCell ref="A3:G3"/>
    <mergeCell ref="A4:B4"/>
    <mergeCell ref="C4:F4"/>
    <mergeCell ref="A5:B5"/>
    <mergeCell ref="C5:F5"/>
    <mergeCell ref="A7:B7"/>
    <mergeCell ref="C7:F7"/>
    <mergeCell ref="A8:B8"/>
    <mergeCell ref="C8:F8"/>
    <mergeCell ref="A10:B10"/>
    <mergeCell ref="C10:F10"/>
    <mergeCell ref="A11:G11"/>
    <mergeCell ref="I11:L12"/>
    <mergeCell ref="A13:G13"/>
    <mergeCell ref="I13:J13"/>
    <mergeCell ref="K13:L13"/>
    <mergeCell ref="B14:C14"/>
    <mergeCell ref="D14:E14"/>
    <mergeCell ref="F14:G14"/>
    <mergeCell ref="I14:J14"/>
    <mergeCell ref="K14:L14"/>
    <mergeCell ref="I15:L17"/>
    <mergeCell ref="A16:G16"/>
    <mergeCell ref="A17:A18"/>
    <mergeCell ref="B17:C17"/>
    <mergeCell ref="D17:E17"/>
    <mergeCell ref="F17:G17"/>
    <mergeCell ref="I18:K18"/>
    <mergeCell ref="A28:B28"/>
    <mergeCell ref="A29:G29"/>
    <mergeCell ref="A30:G30"/>
    <mergeCell ref="A31:G31"/>
    <mergeCell ref="A32:G32"/>
    <mergeCell ref="A33:G33"/>
  </mergeCells>
  <dataValidations count="1">
    <dataValidation operator="equal" allowBlank="1" showErrorMessage="1" sqref="C10 K13 B14">
      <formula1>0</formula1>
    </dataValidation>
  </dataValidations>
  <printOptions/>
  <pageMargins left="0.9840277777777777" right="0.7875" top="0.7875" bottom="0.7875" header="0.5118055555555555" footer="0.5118055555555555"/>
  <pageSetup horizontalDpi="300" verticalDpi="300"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6"/>
  <sheetViews>
    <sheetView zoomScalePageLayoutView="0" workbookViewId="0" topLeftCell="A76">
      <selection activeCell="B15" sqref="B15"/>
    </sheetView>
  </sheetViews>
  <sheetFormatPr defaultColWidth="9.00390625" defaultRowHeight="12.75" customHeight="1"/>
  <cols>
    <col min="1" max="1" width="11.25390625" style="30" customWidth="1"/>
    <col min="2" max="2" width="12.75390625" style="30" customWidth="1"/>
    <col min="3" max="3" width="10.125" style="31" customWidth="1"/>
    <col min="4" max="4" width="10.75390625" style="31" customWidth="1"/>
    <col min="5" max="5" width="11.75390625" style="31" customWidth="1"/>
    <col min="6" max="6" width="12.75390625" style="30" customWidth="1"/>
    <col min="7" max="7" width="15.25390625" style="30" customWidth="1"/>
    <col min="8" max="8" width="15.625" style="30" customWidth="1"/>
    <col min="9" max="9" width="10.125" style="30" customWidth="1"/>
    <col min="10" max="10" width="12.75390625" style="30" customWidth="1"/>
    <col min="11" max="12" width="11.25390625" style="30" customWidth="1"/>
    <col min="13" max="16384" width="9.125" style="30" customWidth="1"/>
  </cols>
  <sheetData>
    <row r="1" spans="1:16" s="23" customFormat="1" ht="19.5" customHeight="1">
      <c r="A1" s="208" t="s">
        <v>0</v>
      </c>
      <c r="B1" s="208"/>
      <c r="C1" s="208"/>
      <c r="D1" s="208"/>
      <c r="E1" s="208"/>
      <c r="F1" s="208"/>
      <c r="G1" s="208"/>
      <c r="H1" s="32"/>
      <c r="I1" s="32"/>
      <c r="J1" s="32"/>
      <c r="K1" s="32"/>
      <c r="L1" s="32"/>
      <c r="M1" s="32"/>
      <c r="N1" s="32"/>
      <c r="O1" s="32"/>
      <c r="P1" s="32"/>
    </row>
    <row r="2" spans="1:16" s="23" customFormat="1" ht="15" customHeight="1">
      <c r="A2" s="209" t="s">
        <v>54</v>
      </c>
      <c r="B2" s="209"/>
      <c r="C2" s="209"/>
      <c r="D2" s="209"/>
      <c r="E2" s="209"/>
      <c r="F2" s="209"/>
      <c r="G2" s="209"/>
      <c r="H2" s="4"/>
      <c r="I2" s="4"/>
      <c r="J2" s="4"/>
      <c r="K2" s="4"/>
      <c r="L2" s="4"/>
      <c r="M2" s="4"/>
      <c r="N2" s="4"/>
      <c r="O2" s="18"/>
      <c r="P2" s="18"/>
    </row>
    <row r="3" spans="1:8" ht="9.75" customHeight="1">
      <c r="A3" s="4"/>
      <c r="B3" s="4"/>
      <c r="C3" s="4"/>
      <c r="D3" s="4"/>
      <c r="E3" s="4"/>
      <c r="F3" s="4"/>
      <c r="G3" s="4"/>
      <c r="H3" s="4"/>
    </row>
    <row r="4" spans="1:12" s="35" customFormat="1" ht="14.25">
      <c r="A4" s="194" t="s">
        <v>19</v>
      </c>
      <c r="B4" s="194"/>
      <c r="C4" s="210">
        <f>+IF(ISBLANK('Inicial - Resumo'!C4),"",'Inicial - Resumo'!C4)</f>
      </c>
      <c r="D4" s="210"/>
      <c r="E4" s="210"/>
      <c r="F4" s="210"/>
      <c r="G4" s="210"/>
      <c r="H4" s="11"/>
      <c r="I4" s="34"/>
      <c r="J4" s="34"/>
      <c r="K4" s="34"/>
      <c r="L4" s="34"/>
    </row>
    <row r="5" spans="1:12" s="35" customFormat="1" ht="14.25">
      <c r="A5" s="194" t="s">
        <v>20</v>
      </c>
      <c r="B5" s="194"/>
      <c r="C5" s="210">
        <f>+IF(ISBLANK('Inicial - Resumo'!C5),"",'Inicial - Resumo'!C5)</f>
      </c>
      <c r="D5" s="210"/>
      <c r="E5" s="210"/>
      <c r="F5" s="210"/>
      <c r="G5" s="210"/>
      <c r="H5" s="11"/>
      <c r="I5" s="34"/>
      <c r="J5" s="34"/>
      <c r="K5" s="34"/>
      <c r="L5" s="34"/>
    </row>
    <row r="6" spans="1:7" s="5" customFormat="1" ht="3.75" customHeight="1">
      <c r="A6" s="9"/>
      <c r="B6" s="36"/>
      <c r="C6" s="37"/>
      <c r="D6" s="38"/>
      <c r="E6" s="38"/>
      <c r="F6" s="39"/>
      <c r="G6" s="40"/>
    </row>
    <row r="7" spans="1:7" s="2" customFormat="1" ht="12.75" customHeight="1">
      <c r="A7" s="205" t="s">
        <v>21</v>
      </c>
      <c r="B7" s="205"/>
      <c r="C7" s="206">
        <f>+IF(ISBLANK('Inicial - Resumo'!C7),"",'Inicial - Resumo'!C7)</f>
      </c>
      <c r="D7" s="206"/>
      <c r="E7" s="206"/>
      <c r="F7" s="206"/>
      <c r="G7" s="206"/>
    </row>
    <row r="8" spans="1:7" s="2" customFormat="1" ht="12.75" customHeight="1">
      <c r="A8" s="205" t="s">
        <v>22</v>
      </c>
      <c r="B8" s="205"/>
      <c r="C8" s="206">
        <f>+IF(ISBLANK('Inicial - Resumo'!C8),"",'Inicial - Resumo'!C8)</f>
      </c>
      <c r="D8" s="206"/>
      <c r="E8" s="206"/>
      <c r="F8" s="206"/>
      <c r="G8" s="206"/>
    </row>
    <row r="9" spans="1:7" s="2" customFormat="1" ht="3.75" customHeight="1">
      <c r="A9" s="41"/>
      <c r="B9" s="41"/>
      <c r="C9" s="42"/>
      <c r="D9" s="42"/>
      <c r="E9" s="42"/>
      <c r="F9" s="43"/>
      <c r="G9" s="44"/>
    </row>
    <row r="10" spans="1:7" s="2" customFormat="1" ht="12.75" customHeight="1">
      <c r="A10" s="205" t="str">
        <f>+'Inicial - Resumo'!A10</f>
        <v>Data de Consolidação:</v>
      </c>
      <c r="B10" s="205"/>
      <c r="C10" s="207">
        <f>+IF(ISBLANK('Inicial - Resumo'!C10),"",'Inicial - Resumo'!C10)</f>
        <v>39448</v>
      </c>
      <c r="D10" s="207"/>
      <c r="E10" s="207"/>
      <c r="F10" s="207"/>
      <c r="G10" s="207"/>
    </row>
    <row r="11" ht="9.75" customHeight="1"/>
    <row r="12" spans="1:8" ht="12.75">
      <c r="A12" s="45" t="s">
        <v>55</v>
      </c>
      <c r="B12" s="201" t="str">
        <f>+'Inicial - Resumo'!A31</f>
        <v>Nome do Responsável</v>
      </c>
      <c r="C12" s="201"/>
      <c r="D12" s="46"/>
      <c r="E12" s="47"/>
      <c r="F12" s="48" t="str">
        <f>+'Inicial - Resumo'!A32</f>
        <v>Identificação do Responsável</v>
      </c>
      <c r="G12" s="47"/>
      <c r="H12" s="47"/>
    </row>
    <row r="13" spans="1:7" ht="12.75" customHeight="1">
      <c r="A13" s="202" t="s">
        <v>56</v>
      </c>
      <c r="B13" s="203" t="s">
        <v>57</v>
      </c>
      <c r="C13" s="203" t="s">
        <v>58</v>
      </c>
      <c r="D13" s="204" t="s">
        <v>59</v>
      </c>
      <c r="E13" s="204"/>
      <c r="F13" s="204"/>
      <c r="G13" s="204" t="s">
        <v>60</v>
      </c>
    </row>
    <row r="14" spans="1:8" ht="12.75" customHeight="1">
      <c r="A14" s="202"/>
      <c r="B14" s="203"/>
      <c r="C14" s="203"/>
      <c r="D14" s="49" t="s">
        <v>61</v>
      </c>
      <c r="E14" s="50" t="s">
        <v>62</v>
      </c>
      <c r="F14" s="49" t="s">
        <v>63</v>
      </c>
      <c r="G14" s="204"/>
      <c r="H14" s="51"/>
    </row>
    <row r="15" spans="1:7" ht="12" customHeight="1">
      <c r="A15" s="52">
        <v>32523</v>
      </c>
      <c r="B15" s="53">
        <v>0</v>
      </c>
      <c r="C15" s="54" t="s">
        <v>64</v>
      </c>
      <c r="D15" s="55">
        <v>0.4272</v>
      </c>
      <c r="E15" s="56">
        <f>+1+D15</f>
        <v>1.4272</v>
      </c>
      <c r="F15" s="57">
        <f>+PRODUCT(E15:$E$50,1.0641/597.06,E$162:E$246)</f>
        <v>5.509440193022144</v>
      </c>
      <c r="G15" s="58">
        <f aca="true" t="shared" si="0" ref="G15:G46">+B15*F15</f>
        <v>0</v>
      </c>
    </row>
    <row r="16" spans="1:7" ht="12" customHeight="1">
      <c r="A16" s="52">
        <f aca="true" t="shared" si="1" ref="A16:A47">+A15+30.5</f>
        <v>32553.5</v>
      </c>
      <c r="B16" s="59">
        <v>0</v>
      </c>
      <c r="C16" s="54" t="s">
        <v>64</v>
      </c>
      <c r="D16" s="55">
        <v>0.1014</v>
      </c>
      <c r="E16" s="56">
        <f>+1+D16</f>
        <v>1.1014</v>
      </c>
      <c r="F16" s="57">
        <f>+PRODUCT(E16:$E$50,1.0641/597.06,E$162:E$246)</f>
        <v>3.8603140365906277</v>
      </c>
      <c r="G16" s="58">
        <f t="shared" si="0"/>
        <v>0</v>
      </c>
    </row>
    <row r="17" spans="1:7" ht="12" customHeight="1">
      <c r="A17" s="52">
        <f t="shared" si="1"/>
        <v>32584</v>
      </c>
      <c r="B17" s="59">
        <v>0</v>
      </c>
      <c r="C17" s="54" t="s">
        <v>64</v>
      </c>
      <c r="D17" s="60">
        <v>1.036</v>
      </c>
      <c r="E17" s="56">
        <f aca="true" t="shared" si="2" ref="E17:E27">+D18/D17</f>
        <v>1.0609073359073358</v>
      </c>
      <c r="F17" s="57">
        <f>+PRODUCT(E17:$E$50,1.0641/597.06,E$162:E$246)</f>
        <v>3.50491559523391</v>
      </c>
      <c r="G17" s="58">
        <f t="shared" si="0"/>
        <v>0</v>
      </c>
    </row>
    <row r="18" spans="1:7" ht="12" customHeight="1">
      <c r="A18" s="52">
        <f t="shared" si="1"/>
        <v>32614.5</v>
      </c>
      <c r="B18" s="59">
        <v>0</v>
      </c>
      <c r="C18" s="54" t="s">
        <v>64</v>
      </c>
      <c r="D18" s="60">
        <v>1.0991</v>
      </c>
      <c r="E18" s="56">
        <f t="shared" si="2"/>
        <v>1.0730597761805114</v>
      </c>
      <c r="F18" s="57">
        <f>+PRODUCT(E18:$E$50,1.0641/597.06,E$162:E$246)</f>
        <v>3.3036962575401083</v>
      </c>
      <c r="G18" s="58">
        <f t="shared" si="0"/>
        <v>0</v>
      </c>
    </row>
    <row r="19" spans="1:7" ht="12" customHeight="1">
      <c r="A19" s="52">
        <f t="shared" si="1"/>
        <v>32645</v>
      </c>
      <c r="B19" s="59">
        <v>0</v>
      </c>
      <c r="C19" s="54" t="s">
        <v>64</v>
      </c>
      <c r="D19" s="60">
        <v>1.1794</v>
      </c>
      <c r="E19" s="56">
        <f t="shared" si="2"/>
        <v>1.0993725623198236</v>
      </c>
      <c r="F19" s="57">
        <f>+PRODUCT(E19:$E$50,1.0641/597.06,E$162:E$246)</f>
        <v>3.0787625544025183</v>
      </c>
      <c r="G19" s="58">
        <f t="shared" si="0"/>
        <v>0</v>
      </c>
    </row>
    <row r="20" spans="1:7" ht="12" customHeight="1">
      <c r="A20" s="52">
        <f t="shared" si="1"/>
        <v>32675.5</v>
      </c>
      <c r="B20" s="59">
        <v>0</v>
      </c>
      <c r="C20" s="54" t="s">
        <v>64</v>
      </c>
      <c r="D20" s="60">
        <v>1.2966</v>
      </c>
      <c r="E20" s="56">
        <f t="shared" si="2"/>
        <v>1.2483418170600031</v>
      </c>
      <c r="F20" s="57">
        <f>+PRODUCT(E20:$E$50,1.0641/597.06,E$162:E$246)</f>
        <v>2.8004724330266306</v>
      </c>
      <c r="G20" s="58">
        <f t="shared" si="0"/>
        <v>0</v>
      </c>
    </row>
    <row r="21" spans="1:7" ht="12" customHeight="1">
      <c r="A21" s="52">
        <f t="shared" si="1"/>
        <v>32706</v>
      </c>
      <c r="B21" s="59">
        <v>0</v>
      </c>
      <c r="C21" s="54" t="s">
        <v>64</v>
      </c>
      <c r="D21" s="60">
        <v>1.6186</v>
      </c>
      <c r="E21" s="56">
        <f t="shared" si="2"/>
        <v>1.2876559990114913</v>
      </c>
      <c r="F21" s="57">
        <f>+PRODUCT(E21:$E$50,1.0641/597.06,E$162:E$246)</f>
        <v>2.2433538592995994</v>
      </c>
      <c r="G21" s="58">
        <f t="shared" si="0"/>
        <v>0</v>
      </c>
    </row>
    <row r="22" spans="1:7" ht="12" customHeight="1">
      <c r="A22" s="52">
        <f t="shared" si="1"/>
        <v>32736.5</v>
      </c>
      <c r="B22" s="59">
        <v>0</v>
      </c>
      <c r="C22" s="54" t="s">
        <v>64</v>
      </c>
      <c r="D22" s="60">
        <v>2.0842</v>
      </c>
      <c r="E22" s="56">
        <f t="shared" si="2"/>
        <v>1.2933499664139716</v>
      </c>
      <c r="F22" s="57">
        <f>+PRODUCT(E22:$E$50,1.0641/597.06,E$162:E$246)</f>
        <v>1.7421996721343114</v>
      </c>
      <c r="G22" s="58">
        <f t="shared" si="0"/>
        <v>0</v>
      </c>
    </row>
    <row r="23" spans="1:7" ht="12" customHeight="1">
      <c r="A23" s="52">
        <f t="shared" si="1"/>
        <v>32767</v>
      </c>
      <c r="B23" s="59">
        <v>0</v>
      </c>
      <c r="C23" s="54" t="s">
        <v>64</v>
      </c>
      <c r="D23" s="60">
        <v>2.6955999999999998</v>
      </c>
      <c r="E23" s="56">
        <f t="shared" si="2"/>
        <v>1.3595117970025228</v>
      </c>
      <c r="F23" s="57">
        <f>+PRODUCT(E23:$E$50,1.0641/597.06,E$162:E$246)</f>
        <v>1.347044278328511</v>
      </c>
      <c r="G23" s="58">
        <f t="shared" si="0"/>
        <v>0</v>
      </c>
    </row>
    <row r="24" spans="1:7" ht="12" customHeight="1">
      <c r="A24" s="52">
        <f t="shared" si="1"/>
        <v>32797.5</v>
      </c>
      <c r="B24" s="59">
        <v>0</v>
      </c>
      <c r="C24" s="54" t="s">
        <v>64</v>
      </c>
      <c r="D24" s="60">
        <v>3.6647</v>
      </c>
      <c r="E24" s="56">
        <f t="shared" si="2"/>
        <v>1.3762108767429804</v>
      </c>
      <c r="F24" s="57">
        <f>+PRODUCT(E24:$E$50,1.0641/597.06,E$162:E$246)</f>
        <v>0.9908294148667917</v>
      </c>
      <c r="G24" s="58">
        <f t="shared" si="0"/>
        <v>0</v>
      </c>
    </row>
    <row r="25" spans="1:7" ht="12" customHeight="1">
      <c r="A25" s="52">
        <f t="shared" si="1"/>
        <v>32828</v>
      </c>
      <c r="B25" s="59">
        <v>0</v>
      </c>
      <c r="C25" s="54" t="s">
        <v>64</v>
      </c>
      <c r="D25" s="60">
        <v>5.0434</v>
      </c>
      <c r="E25" s="56">
        <f t="shared" si="2"/>
        <v>1.4142047031764284</v>
      </c>
      <c r="F25" s="57">
        <f>+PRODUCT(E25:$E$50,1.0641/597.06,E$162:E$246)</f>
        <v>0.719969178859962</v>
      </c>
      <c r="G25" s="58">
        <f t="shared" si="0"/>
        <v>0</v>
      </c>
    </row>
    <row r="26" spans="1:7" ht="12" customHeight="1">
      <c r="A26" s="52">
        <f t="shared" si="1"/>
        <v>32858.5</v>
      </c>
      <c r="B26" s="59">
        <v>0</v>
      </c>
      <c r="C26" s="54" t="s">
        <v>64</v>
      </c>
      <c r="D26" s="60">
        <v>7.1324</v>
      </c>
      <c r="E26" s="56">
        <f t="shared" si="2"/>
        <v>1.535499971958948</v>
      </c>
      <c r="F26" s="57">
        <f>+PRODUCT(E26:$E$50,1.0641/597.06,E$162:E$246)</f>
        <v>0.5090982778114427</v>
      </c>
      <c r="G26" s="58">
        <f t="shared" si="0"/>
        <v>0</v>
      </c>
    </row>
    <row r="27" spans="1:7" ht="12" customHeight="1">
      <c r="A27" s="52">
        <f t="shared" si="1"/>
        <v>32889</v>
      </c>
      <c r="B27" s="59">
        <v>0</v>
      </c>
      <c r="C27" s="54" t="s">
        <v>64</v>
      </c>
      <c r="D27" s="60">
        <v>10.9518</v>
      </c>
      <c r="E27" s="56">
        <f t="shared" si="2"/>
        <v>1.5610949798206688</v>
      </c>
      <c r="F27" s="57">
        <f>+PRODUCT(E27:$E$50,1.0641/597.06,E$162:E$246)</f>
        <v>0.331552124460119</v>
      </c>
      <c r="G27" s="58">
        <f t="shared" si="0"/>
        <v>0</v>
      </c>
    </row>
    <row r="28" spans="1:7" ht="12" customHeight="1">
      <c r="A28" s="52">
        <f t="shared" si="1"/>
        <v>32919.5</v>
      </c>
      <c r="B28" s="59">
        <v>0</v>
      </c>
      <c r="C28" s="54" t="s">
        <v>64</v>
      </c>
      <c r="D28" s="60">
        <v>17.0968</v>
      </c>
      <c r="E28" s="56">
        <f>+29.5399/D28</f>
        <v>1.7278028636937903</v>
      </c>
      <c r="F28" s="57">
        <f>+PRODUCT(E28:$E$50,1.0641/597.06,E$162:E$246)</f>
        <v>0.2123843383944557</v>
      </c>
      <c r="G28" s="58">
        <f t="shared" si="0"/>
        <v>0</v>
      </c>
    </row>
    <row r="29" spans="1:7" ht="12" customHeight="1">
      <c r="A29" s="52">
        <f t="shared" si="1"/>
        <v>32950</v>
      </c>
      <c r="B29" s="59">
        <v>0</v>
      </c>
      <c r="C29" s="54" t="s">
        <v>65</v>
      </c>
      <c r="D29" s="55">
        <v>0.8432000000000001</v>
      </c>
      <c r="E29" s="56">
        <f aca="true" t="shared" si="3" ref="E29:E50">+1+D29</f>
        <v>1.8432</v>
      </c>
      <c r="F29" s="57">
        <f>+PRODUCT(E29:$E$50,1.0641/597.06,E$162:E$246)</f>
        <v>0.12292162656821223</v>
      </c>
      <c r="G29" s="58">
        <f t="shared" si="0"/>
        <v>0</v>
      </c>
    </row>
    <row r="30" spans="1:7" ht="12" customHeight="1">
      <c r="A30" s="52">
        <f t="shared" si="1"/>
        <v>32980.5</v>
      </c>
      <c r="B30" s="59">
        <v>0</v>
      </c>
      <c r="C30" s="54" t="s">
        <v>65</v>
      </c>
      <c r="D30" s="55">
        <v>0.448</v>
      </c>
      <c r="E30" s="56">
        <f t="shared" si="3"/>
        <v>1.448</v>
      </c>
      <c r="F30" s="57">
        <f>+PRODUCT(E30:$E$50,1.0641/597.06,E$162:E$246)</f>
        <v>0.06668925052528875</v>
      </c>
      <c r="G30" s="58">
        <f t="shared" si="0"/>
        <v>0</v>
      </c>
    </row>
    <row r="31" spans="1:7" ht="12" customHeight="1">
      <c r="A31" s="52">
        <f t="shared" si="1"/>
        <v>33011</v>
      </c>
      <c r="B31" s="59">
        <v>0</v>
      </c>
      <c r="C31" s="54" t="s">
        <v>65</v>
      </c>
      <c r="D31" s="55">
        <v>0.0787</v>
      </c>
      <c r="E31" s="56">
        <f t="shared" si="3"/>
        <v>1.0787</v>
      </c>
      <c r="F31" s="57">
        <f>+PRODUCT(E31:$E$50,1.0641/597.06,E$162:E$246)</f>
        <v>0.046056112241221504</v>
      </c>
      <c r="G31" s="58">
        <f t="shared" si="0"/>
        <v>0</v>
      </c>
    </row>
    <row r="32" spans="1:7" ht="12" customHeight="1">
      <c r="A32" s="52">
        <f t="shared" si="1"/>
        <v>33041.5</v>
      </c>
      <c r="B32" s="59">
        <v>0</v>
      </c>
      <c r="C32" s="54" t="s">
        <v>65</v>
      </c>
      <c r="D32" s="55">
        <v>0.0955</v>
      </c>
      <c r="E32" s="56">
        <f t="shared" si="3"/>
        <v>1.0955</v>
      </c>
      <c r="F32" s="57">
        <f>+PRODUCT(E32:$E$50,1.0641/597.06,E$162:E$246)</f>
        <v>0.04269594163458007</v>
      </c>
      <c r="G32" s="58">
        <f t="shared" si="0"/>
        <v>0</v>
      </c>
    </row>
    <row r="33" spans="1:7" ht="12" customHeight="1">
      <c r="A33" s="52">
        <f t="shared" si="1"/>
        <v>33072</v>
      </c>
      <c r="B33" s="59">
        <v>0</v>
      </c>
      <c r="C33" s="54" t="s">
        <v>65</v>
      </c>
      <c r="D33" s="55">
        <v>0.1292</v>
      </c>
      <c r="E33" s="56">
        <f t="shared" si="3"/>
        <v>1.1292</v>
      </c>
      <c r="F33" s="57">
        <f>+PRODUCT(E33:$E$50,1.0641/597.06,E$162:E$246)</f>
        <v>0.038973931204545904</v>
      </c>
      <c r="G33" s="58">
        <f t="shared" si="0"/>
        <v>0</v>
      </c>
    </row>
    <row r="34" spans="1:7" ht="12" customHeight="1">
      <c r="A34" s="52">
        <f t="shared" si="1"/>
        <v>33102.5</v>
      </c>
      <c r="B34" s="59">
        <v>0</v>
      </c>
      <c r="C34" s="54" t="s">
        <v>65</v>
      </c>
      <c r="D34" s="55">
        <v>0.1203</v>
      </c>
      <c r="E34" s="56">
        <f t="shared" si="3"/>
        <v>1.1203</v>
      </c>
      <c r="F34" s="57">
        <f>+PRODUCT(E34:$E$50,1.0641/597.06,E$162:E$246)</f>
        <v>0.03451463974897796</v>
      </c>
      <c r="G34" s="58">
        <f t="shared" si="0"/>
        <v>0</v>
      </c>
    </row>
    <row r="35" spans="1:7" ht="12" customHeight="1">
      <c r="A35" s="52">
        <f t="shared" si="1"/>
        <v>33133</v>
      </c>
      <c r="B35" s="59">
        <v>0</v>
      </c>
      <c r="C35" s="54" t="s">
        <v>65</v>
      </c>
      <c r="D35" s="55">
        <v>0.12760000000000002</v>
      </c>
      <c r="E35" s="56">
        <f t="shared" si="3"/>
        <v>1.1276</v>
      </c>
      <c r="F35" s="57">
        <f>+PRODUCT(E35:$E$50,1.0641/597.06,E$162:E$246)</f>
        <v>0.030808390385591317</v>
      </c>
      <c r="G35" s="58">
        <f t="shared" si="0"/>
        <v>0</v>
      </c>
    </row>
    <row r="36" spans="1:7" ht="12" customHeight="1">
      <c r="A36" s="52">
        <f t="shared" si="1"/>
        <v>33163.5</v>
      </c>
      <c r="B36" s="59">
        <v>0</v>
      </c>
      <c r="C36" s="54" t="s">
        <v>65</v>
      </c>
      <c r="D36" s="55">
        <v>0.14200000000000002</v>
      </c>
      <c r="E36" s="56">
        <f t="shared" si="3"/>
        <v>1.142</v>
      </c>
      <c r="F36" s="57">
        <f>+PRODUCT(E36:$E$50,1.0641/597.06,E$162:E$246)</f>
        <v>0.02732209150903807</v>
      </c>
      <c r="G36" s="58">
        <f t="shared" si="0"/>
        <v>0</v>
      </c>
    </row>
    <row r="37" spans="1:7" ht="12" customHeight="1">
      <c r="A37" s="52">
        <f t="shared" si="1"/>
        <v>33194</v>
      </c>
      <c r="B37" s="59">
        <v>0</v>
      </c>
      <c r="C37" s="54" t="s">
        <v>65</v>
      </c>
      <c r="D37" s="55">
        <v>0.1558</v>
      </c>
      <c r="E37" s="56">
        <f t="shared" si="3"/>
        <v>1.1558</v>
      </c>
      <c r="F37" s="57">
        <f>+PRODUCT(E37:$E$50,1.0641/597.06,E$162:E$246)</f>
        <v>0.023924773650646294</v>
      </c>
      <c r="G37" s="58">
        <f t="shared" si="0"/>
        <v>0</v>
      </c>
    </row>
    <row r="38" spans="1:7" ht="12" customHeight="1">
      <c r="A38" s="52">
        <f t="shared" si="1"/>
        <v>33224.5</v>
      </c>
      <c r="B38" s="59">
        <v>0</v>
      </c>
      <c r="C38" s="54" t="s">
        <v>65</v>
      </c>
      <c r="D38" s="55">
        <v>0.183</v>
      </c>
      <c r="E38" s="56">
        <f t="shared" si="3"/>
        <v>1.183</v>
      </c>
      <c r="F38" s="57">
        <f>+PRODUCT(E38:$E$50,1.0641/597.06,E$162:E$246)</f>
        <v>0.020699752250083307</v>
      </c>
      <c r="G38" s="58">
        <f t="shared" si="0"/>
        <v>0</v>
      </c>
    </row>
    <row r="39" spans="1:7" ht="12" customHeight="1">
      <c r="A39" s="52">
        <f t="shared" si="1"/>
        <v>33255</v>
      </c>
      <c r="B39" s="59">
        <v>0</v>
      </c>
      <c r="C39" s="54" t="s">
        <v>65</v>
      </c>
      <c r="D39" s="55">
        <v>0.1991</v>
      </c>
      <c r="E39" s="56">
        <f t="shared" si="3"/>
        <v>1.1991</v>
      </c>
      <c r="F39" s="57">
        <f>+PRODUCT(E39:$E$50,1.0641/597.06,E$162:E$246)</f>
        <v>0.01749767730353619</v>
      </c>
      <c r="G39" s="58">
        <f t="shared" si="0"/>
        <v>0</v>
      </c>
    </row>
    <row r="40" spans="1:7" ht="12" customHeight="1">
      <c r="A40" s="52">
        <f t="shared" si="1"/>
        <v>33285.5</v>
      </c>
      <c r="B40" s="59">
        <v>0</v>
      </c>
      <c r="C40" s="54" t="s">
        <v>65</v>
      </c>
      <c r="D40" s="55">
        <v>0.2187</v>
      </c>
      <c r="E40" s="56">
        <f t="shared" si="3"/>
        <v>1.2187000000000001</v>
      </c>
      <c r="F40" s="57">
        <f>+PRODUCT(E40:$E$50,1.0641/597.06,E$162:E$246)</f>
        <v>0.014592342009453911</v>
      </c>
      <c r="G40" s="58">
        <f t="shared" si="0"/>
        <v>0</v>
      </c>
    </row>
    <row r="41" spans="1:7" ht="12" customHeight="1">
      <c r="A41" s="52">
        <f t="shared" si="1"/>
        <v>33316</v>
      </c>
      <c r="B41" s="59">
        <v>0</v>
      </c>
      <c r="C41" s="54" t="s">
        <v>65</v>
      </c>
      <c r="D41" s="61">
        <v>0.1179</v>
      </c>
      <c r="E41" s="56">
        <f t="shared" si="3"/>
        <v>1.1179000000000001</v>
      </c>
      <c r="F41" s="57">
        <f>+PRODUCT(E41:$E$50,1.0641/597.06,E$162:E$246)</f>
        <v>0.011973694928574636</v>
      </c>
      <c r="G41" s="58">
        <f t="shared" si="0"/>
        <v>0</v>
      </c>
    </row>
    <row r="42" spans="1:7" ht="12" customHeight="1">
      <c r="A42" s="52">
        <f t="shared" si="1"/>
        <v>33346.5</v>
      </c>
      <c r="B42" s="59">
        <v>0</v>
      </c>
      <c r="C42" s="54" t="s">
        <v>65</v>
      </c>
      <c r="D42" s="61">
        <v>0.050100000000000006</v>
      </c>
      <c r="E42" s="56">
        <f t="shared" si="3"/>
        <v>1.0501</v>
      </c>
      <c r="F42" s="57">
        <f>+PRODUCT(E42:$E$50,1.0641/597.06,E$162:E$246)</f>
        <v>0.010710881947020875</v>
      </c>
      <c r="G42" s="58">
        <f t="shared" si="0"/>
        <v>0</v>
      </c>
    </row>
    <row r="43" spans="1:7" ht="12" customHeight="1">
      <c r="A43" s="52">
        <f t="shared" si="1"/>
        <v>33377</v>
      </c>
      <c r="B43" s="59">
        <v>0</v>
      </c>
      <c r="C43" s="54" t="s">
        <v>65</v>
      </c>
      <c r="D43" s="55">
        <v>0.0668</v>
      </c>
      <c r="E43" s="56">
        <f t="shared" si="3"/>
        <v>1.0668</v>
      </c>
      <c r="F43" s="57">
        <f>+PRODUCT(E43:$E$50,1.0641/597.06,E$162:E$246)</f>
        <v>0.010199868533492888</v>
      </c>
      <c r="G43" s="58">
        <f t="shared" si="0"/>
        <v>0</v>
      </c>
    </row>
    <row r="44" spans="1:7" ht="12" customHeight="1">
      <c r="A44" s="52">
        <f t="shared" si="1"/>
        <v>33407.5</v>
      </c>
      <c r="B44" s="59">
        <v>0</v>
      </c>
      <c r="C44" s="54" t="s">
        <v>65</v>
      </c>
      <c r="D44" s="55">
        <v>0.10830000000000001</v>
      </c>
      <c r="E44" s="56">
        <f t="shared" si="3"/>
        <v>1.1083</v>
      </c>
      <c r="F44" s="57">
        <f>+PRODUCT(E44:$E$50,1.0641/597.06,E$162:E$246)</f>
        <v>0.009561181602449283</v>
      </c>
      <c r="G44" s="58">
        <f t="shared" si="0"/>
        <v>0</v>
      </c>
    </row>
    <row r="45" spans="1:7" ht="12" customHeight="1">
      <c r="A45" s="52">
        <f t="shared" si="1"/>
        <v>33438</v>
      </c>
      <c r="B45" s="59">
        <v>0</v>
      </c>
      <c r="C45" s="54" t="s">
        <v>65</v>
      </c>
      <c r="D45" s="55">
        <v>0.12140000000000001</v>
      </c>
      <c r="E45" s="56">
        <f t="shared" si="3"/>
        <v>1.1214</v>
      </c>
      <c r="F45" s="57">
        <f>+PRODUCT(E45:$E$50,1.0641/597.06,E$162:E$246)</f>
        <v>0.00862688947256996</v>
      </c>
      <c r="G45" s="58">
        <f t="shared" si="0"/>
        <v>0</v>
      </c>
    </row>
    <row r="46" spans="1:7" ht="12" customHeight="1">
      <c r="A46" s="52">
        <f t="shared" si="1"/>
        <v>33468.5</v>
      </c>
      <c r="B46" s="59">
        <v>0</v>
      </c>
      <c r="C46" s="54" t="s">
        <v>65</v>
      </c>
      <c r="D46" s="55">
        <v>0.1562</v>
      </c>
      <c r="E46" s="56">
        <f t="shared" si="3"/>
        <v>1.1562000000000001</v>
      </c>
      <c r="F46" s="57">
        <f>+PRODUCT(E46:$E$50,1.0641/597.06,E$162:E$246)</f>
        <v>0.0076929636816211395</v>
      </c>
      <c r="G46" s="58">
        <f t="shared" si="0"/>
        <v>0</v>
      </c>
    </row>
    <row r="47" spans="1:7" ht="12" customHeight="1">
      <c r="A47" s="52">
        <f t="shared" si="1"/>
        <v>33499</v>
      </c>
      <c r="B47" s="59">
        <v>0</v>
      </c>
      <c r="C47" s="54" t="s">
        <v>65</v>
      </c>
      <c r="D47" s="55">
        <v>0.1562</v>
      </c>
      <c r="E47" s="56">
        <f t="shared" si="3"/>
        <v>1.1562000000000001</v>
      </c>
      <c r="F47" s="57">
        <f>+PRODUCT(E47:$E$50,1.0641/597.06,E$162:E$246)</f>
        <v>0.006653661720827834</v>
      </c>
      <c r="G47" s="58">
        <f aca="true" t="shared" si="4" ref="G47:G78">+B47*F47</f>
        <v>0</v>
      </c>
    </row>
    <row r="48" spans="1:7" ht="12" customHeight="1">
      <c r="A48" s="52">
        <f aca="true" t="shared" si="5" ref="A48:A79">+A47+30.5</f>
        <v>33529.5</v>
      </c>
      <c r="B48" s="59">
        <v>0</v>
      </c>
      <c r="C48" s="54" t="s">
        <v>65</v>
      </c>
      <c r="D48" s="55">
        <v>0.21080000000000002</v>
      </c>
      <c r="E48" s="56">
        <f t="shared" si="3"/>
        <v>1.2108</v>
      </c>
      <c r="F48" s="57">
        <f>+PRODUCT(E48:$E$50,1.0641/597.06,E$162:E$246)</f>
        <v>0.0057547670998338</v>
      </c>
      <c r="G48" s="58">
        <f t="shared" si="4"/>
        <v>0</v>
      </c>
    </row>
    <row r="49" spans="1:7" ht="12" customHeight="1">
      <c r="A49" s="52">
        <f t="shared" si="5"/>
        <v>33560</v>
      </c>
      <c r="B49" s="59">
        <v>0</v>
      </c>
      <c r="C49" s="54" t="s">
        <v>65</v>
      </c>
      <c r="D49" s="55">
        <v>0.26480000000000004</v>
      </c>
      <c r="E49" s="56">
        <f t="shared" si="3"/>
        <v>1.2648000000000001</v>
      </c>
      <c r="F49" s="57">
        <f>+PRODUCT(E49:$E$50,1.0641/597.06,E$162:E$246)</f>
        <v>0.004752863478554506</v>
      </c>
      <c r="G49" s="58">
        <f t="shared" si="4"/>
        <v>0</v>
      </c>
    </row>
    <row r="50" spans="1:7" ht="12" customHeight="1">
      <c r="A50" s="52">
        <f t="shared" si="5"/>
        <v>33590.5</v>
      </c>
      <c r="B50" s="59">
        <v>0</v>
      </c>
      <c r="C50" s="54" t="s">
        <v>65</v>
      </c>
      <c r="D50" s="55">
        <v>0.2288</v>
      </c>
      <c r="E50" s="56">
        <f t="shared" si="3"/>
        <v>1.2288000000000001</v>
      </c>
      <c r="F50" s="57">
        <f>+PRODUCT(E50:$E$50,1.0641/597.06,E$162:E$246)</f>
        <v>0.003757798449205015</v>
      </c>
      <c r="G50" s="58">
        <f t="shared" si="4"/>
        <v>0</v>
      </c>
    </row>
    <row r="51" spans="1:7" ht="12" customHeight="1">
      <c r="A51" s="52">
        <f t="shared" si="5"/>
        <v>33621</v>
      </c>
      <c r="B51" s="59">
        <v>0</v>
      </c>
      <c r="C51" s="54" t="s">
        <v>65</v>
      </c>
      <c r="D51" s="62">
        <v>597.06</v>
      </c>
      <c r="E51" s="56">
        <f aca="true" t="shared" si="6" ref="E51:E97">+D52/D51</f>
        <v>1.2560044216661643</v>
      </c>
      <c r="F51" s="57">
        <f aca="true" t="shared" si="7" ref="F51:F98">PRODUCT(1.0641/D51,E$162:E$246)</f>
        <v>0.0030581042067098097</v>
      </c>
      <c r="G51" s="58">
        <f t="shared" si="4"/>
        <v>0</v>
      </c>
    </row>
    <row r="52" spans="1:7" ht="12" customHeight="1">
      <c r="A52" s="52">
        <f t="shared" si="5"/>
        <v>33651.5</v>
      </c>
      <c r="B52" s="59">
        <v>0</v>
      </c>
      <c r="C52" s="54" t="s">
        <v>65</v>
      </c>
      <c r="D52" s="62">
        <v>749.91</v>
      </c>
      <c r="E52" s="56">
        <f t="shared" si="6"/>
        <v>1.2610046538918003</v>
      </c>
      <c r="F52" s="57">
        <f t="shared" si="7"/>
        <v>0.0024347877714101145</v>
      </c>
      <c r="G52" s="58">
        <f t="shared" si="4"/>
        <v>0</v>
      </c>
    </row>
    <row r="53" spans="1:7" ht="12" customHeight="1">
      <c r="A53" s="52">
        <f t="shared" si="5"/>
        <v>33682</v>
      </c>
      <c r="B53" s="59">
        <v>0</v>
      </c>
      <c r="C53" s="54" t="s">
        <v>65</v>
      </c>
      <c r="D53" s="62">
        <v>945.64</v>
      </c>
      <c r="E53" s="56">
        <f t="shared" si="6"/>
        <v>1.2202952497779282</v>
      </c>
      <c r="F53" s="57">
        <f t="shared" si="7"/>
        <v>0.0019308317093800604</v>
      </c>
      <c r="G53" s="58">
        <f t="shared" si="4"/>
        <v>0</v>
      </c>
    </row>
    <row r="54" spans="1:7" ht="12" customHeight="1">
      <c r="A54" s="52">
        <f t="shared" si="5"/>
        <v>33712.5</v>
      </c>
      <c r="B54" s="59">
        <v>0</v>
      </c>
      <c r="C54" s="54" t="s">
        <v>65</v>
      </c>
      <c r="D54" s="62">
        <v>1153.96</v>
      </c>
      <c r="E54" s="56">
        <f t="shared" si="6"/>
        <v>1.198299767756248</v>
      </c>
      <c r="F54" s="57">
        <f t="shared" si="7"/>
        <v>0.0015822660210563267</v>
      </c>
      <c r="G54" s="58">
        <f t="shared" si="4"/>
        <v>0</v>
      </c>
    </row>
    <row r="55" spans="1:7" ht="12" customHeight="1">
      <c r="A55" s="52">
        <f t="shared" si="5"/>
        <v>33743</v>
      </c>
      <c r="B55" s="59">
        <v>0</v>
      </c>
      <c r="C55" s="54" t="s">
        <v>65</v>
      </c>
      <c r="D55" s="62">
        <v>1382.79</v>
      </c>
      <c r="E55" s="56">
        <f t="shared" si="6"/>
        <v>1.234496922887785</v>
      </c>
      <c r="F55" s="57">
        <f t="shared" si="7"/>
        <v>0.0013204258764224206</v>
      </c>
      <c r="G55" s="58">
        <f t="shared" si="4"/>
        <v>0</v>
      </c>
    </row>
    <row r="56" spans="1:7" ht="12" customHeight="1">
      <c r="A56" s="52">
        <f t="shared" si="5"/>
        <v>33773.5</v>
      </c>
      <c r="B56" s="59">
        <v>0</v>
      </c>
      <c r="C56" s="54" t="s">
        <v>65</v>
      </c>
      <c r="D56" s="62">
        <v>1707.05</v>
      </c>
      <c r="E56" s="56">
        <f t="shared" si="6"/>
        <v>1.2326996865938316</v>
      </c>
      <c r="F56" s="57">
        <f t="shared" si="7"/>
        <v>0.0010696064542094026</v>
      </c>
      <c r="G56" s="58">
        <f t="shared" si="4"/>
        <v>0</v>
      </c>
    </row>
    <row r="57" spans="1:7" ht="12" customHeight="1">
      <c r="A57" s="52">
        <f t="shared" si="5"/>
        <v>33804</v>
      </c>
      <c r="B57" s="59">
        <v>0</v>
      </c>
      <c r="C57" s="54" t="s">
        <v>65</v>
      </c>
      <c r="D57" s="62">
        <v>2104.28</v>
      </c>
      <c r="E57" s="56">
        <f t="shared" si="6"/>
        <v>1.2101003668713288</v>
      </c>
      <c r="F57" s="57">
        <f t="shared" si="7"/>
        <v>0.0008676942696115337</v>
      </c>
      <c r="G57" s="58">
        <f t="shared" si="4"/>
        <v>0</v>
      </c>
    </row>
    <row r="58" spans="1:7" ht="12" customHeight="1">
      <c r="A58" s="52">
        <f t="shared" si="5"/>
        <v>33834.5</v>
      </c>
      <c r="B58" s="59">
        <v>0</v>
      </c>
      <c r="C58" s="54" t="s">
        <v>65</v>
      </c>
      <c r="D58" s="62">
        <v>2546.39</v>
      </c>
      <c r="E58" s="56">
        <f t="shared" si="6"/>
        <v>1.2313981754562342</v>
      </c>
      <c r="F58" s="57">
        <f t="shared" si="7"/>
        <v>0.0007170432249805249</v>
      </c>
      <c r="G58" s="58">
        <f t="shared" si="4"/>
        <v>0</v>
      </c>
    </row>
    <row r="59" spans="1:7" ht="12" customHeight="1">
      <c r="A59" s="52">
        <f t="shared" si="5"/>
        <v>33865</v>
      </c>
      <c r="B59" s="59">
        <v>0</v>
      </c>
      <c r="C59" s="54" t="s">
        <v>65</v>
      </c>
      <c r="D59" s="62">
        <v>3135.62</v>
      </c>
      <c r="E59" s="56">
        <f t="shared" si="6"/>
        <v>1.2332999534382354</v>
      </c>
      <c r="F59" s="57">
        <f t="shared" si="7"/>
        <v>0.0005823000547445675</v>
      </c>
      <c r="G59" s="58">
        <f t="shared" si="4"/>
        <v>0</v>
      </c>
    </row>
    <row r="60" spans="1:7" ht="12" customHeight="1">
      <c r="A60" s="52">
        <f t="shared" si="5"/>
        <v>33895.5</v>
      </c>
      <c r="B60" s="59">
        <v>0</v>
      </c>
      <c r="C60" s="54" t="s">
        <v>65</v>
      </c>
      <c r="D60" s="62">
        <v>3867.16</v>
      </c>
      <c r="E60" s="56">
        <f t="shared" si="6"/>
        <v>1.2547993876643326</v>
      </c>
      <c r="F60" s="57">
        <f t="shared" si="7"/>
        <v>0.00047214795810314567</v>
      </c>
      <c r="G60" s="58">
        <f t="shared" si="4"/>
        <v>0</v>
      </c>
    </row>
    <row r="61" spans="1:7" ht="12" customHeight="1">
      <c r="A61" s="52">
        <f t="shared" si="5"/>
        <v>33926</v>
      </c>
      <c r="B61" s="59">
        <v>0</v>
      </c>
      <c r="C61" s="54" t="s">
        <v>65</v>
      </c>
      <c r="D61" s="62">
        <v>4852.51</v>
      </c>
      <c r="E61" s="56">
        <f t="shared" si="6"/>
        <v>1.2369989963956798</v>
      </c>
      <c r="F61" s="57">
        <f t="shared" si="7"/>
        <v>0.00037627365995292303</v>
      </c>
      <c r="G61" s="58">
        <f t="shared" si="4"/>
        <v>0</v>
      </c>
    </row>
    <row r="62" spans="1:7" ht="12" customHeight="1">
      <c r="A62" s="52">
        <f t="shared" si="5"/>
        <v>33956.5</v>
      </c>
      <c r="B62" s="59">
        <v>0</v>
      </c>
      <c r="C62" s="54" t="s">
        <v>65</v>
      </c>
      <c r="D62" s="62">
        <v>6002.55</v>
      </c>
      <c r="E62" s="56">
        <f t="shared" si="6"/>
        <v>1.2349001674288427</v>
      </c>
      <c r="F62" s="57">
        <f t="shared" si="7"/>
        <v>0.00030418267197410435</v>
      </c>
      <c r="G62" s="58">
        <f t="shared" si="4"/>
        <v>0</v>
      </c>
    </row>
    <row r="63" spans="1:7" ht="12" customHeight="1">
      <c r="A63" s="52">
        <f t="shared" si="5"/>
        <v>33987</v>
      </c>
      <c r="B63" s="59">
        <v>0</v>
      </c>
      <c r="C63" s="54" t="s">
        <v>65</v>
      </c>
      <c r="D63" s="62">
        <v>7412.55</v>
      </c>
      <c r="E63" s="56">
        <f t="shared" si="6"/>
        <v>1.294700204383107</v>
      </c>
      <c r="F63" s="57">
        <f t="shared" si="7"/>
        <v>0.0002463216703642012</v>
      </c>
      <c r="G63" s="58">
        <f t="shared" si="4"/>
        <v>0</v>
      </c>
    </row>
    <row r="64" spans="1:7" ht="12" customHeight="1">
      <c r="A64" s="52">
        <f t="shared" si="5"/>
        <v>34017.5</v>
      </c>
      <c r="B64" s="59">
        <v>0</v>
      </c>
      <c r="C64" s="54" t="s">
        <v>65</v>
      </c>
      <c r="D64" s="62">
        <v>9597.03</v>
      </c>
      <c r="E64" s="56">
        <f t="shared" si="6"/>
        <v>1.267200373448869</v>
      </c>
      <c r="F64" s="57">
        <f t="shared" si="7"/>
        <v>0.00019025382828418365</v>
      </c>
      <c r="G64" s="58">
        <f t="shared" si="4"/>
        <v>0</v>
      </c>
    </row>
    <row r="65" spans="1:7" ht="12" customHeight="1">
      <c r="A65" s="52">
        <f t="shared" si="5"/>
        <v>34048</v>
      </c>
      <c r="B65" s="59">
        <v>0</v>
      </c>
      <c r="C65" s="54" t="s">
        <v>65</v>
      </c>
      <c r="D65" s="62">
        <v>12161.36</v>
      </c>
      <c r="E65" s="56">
        <f t="shared" si="6"/>
        <v>1.2596000776228975</v>
      </c>
      <c r="F65" s="57">
        <f t="shared" si="7"/>
        <v>0.0001501371308519901</v>
      </c>
      <c r="G65" s="58">
        <f t="shared" si="4"/>
        <v>0</v>
      </c>
    </row>
    <row r="66" spans="1:7" ht="12" customHeight="1">
      <c r="A66" s="52">
        <f t="shared" si="5"/>
        <v>34078.5</v>
      </c>
      <c r="B66" s="59">
        <v>0</v>
      </c>
      <c r="C66" s="54" t="s">
        <v>65</v>
      </c>
      <c r="D66" s="62">
        <v>15318.45</v>
      </c>
      <c r="E66" s="56">
        <f t="shared" si="6"/>
        <v>1.2734003766699633</v>
      </c>
      <c r="F66" s="57">
        <f t="shared" si="7"/>
        <v>0.00011919428516972411</v>
      </c>
      <c r="G66" s="58">
        <f t="shared" si="4"/>
        <v>0</v>
      </c>
    </row>
    <row r="67" spans="1:7" ht="12" customHeight="1">
      <c r="A67" s="52">
        <f t="shared" si="5"/>
        <v>34109</v>
      </c>
      <c r="B67" s="59">
        <v>0</v>
      </c>
      <c r="C67" s="54" t="s">
        <v>65</v>
      </c>
      <c r="D67" s="62">
        <v>19506.52</v>
      </c>
      <c r="E67" s="56">
        <f t="shared" si="6"/>
        <v>1.2881000814086776</v>
      </c>
      <c r="F67" s="57">
        <f t="shared" si="7"/>
        <v>9.360314898086171E-05</v>
      </c>
      <c r="G67" s="58">
        <f t="shared" si="4"/>
        <v>0</v>
      </c>
    </row>
    <row r="68" spans="1:256" ht="12" customHeight="1">
      <c r="A68" s="52">
        <f t="shared" si="5"/>
        <v>34139.5</v>
      </c>
      <c r="B68" s="59">
        <v>0</v>
      </c>
      <c r="C68" s="54" t="s">
        <v>65</v>
      </c>
      <c r="D68" s="62">
        <v>25126.35</v>
      </c>
      <c r="E68" s="56">
        <f t="shared" si="6"/>
        <v>1.3033998173232484</v>
      </c>
      <c r="F68" s="57">
        <f t="shared" si="7"/>
        <v>7.266760582647934E-05</v>
      </c>
      <c r="G68" s="58">
        <f t="shared" si="4"/>
        <v>0</v>
      </c>
      <c r="IT68"/>
      <c r="IU68"/>
      <c r="IV68"/>
    </row>
    <row r="69" spans="1:256" ht="12" customHeight="1">
      <c r="A69" s="52">
        <f t="shared" si="5"/>
        <v>34170</v>
      </c>
      <c r="B69" s="59">
        <v>0</v>
      </c>
      <c r="C69" s="54" t="s">
        <v>65</v>
      </c>
      <c r="D69" s="62">
        <v>32749.68</v>
      </c>
      <c r="E69" s="56">
        <f t="shared" si="6"/>
        <v>0.0013065776520564476</v>
      </c>
      <c r="F69" s="57">
        <f t="shared" si="7"/>
        <v>5.5752352317890103E-05</v>
      </c>
      <c r="G69" s="58">
        <f t="shared" si="4"/>
        <v>0</v>
      </c>
      <c r="IT69"/>
      <c r="IU69"/>
      <c r="IV69"/>
    </row>
    <row r="70" spans="1:256" ht="12" customHeight="1">
      <c r="A70" s="52">
        <f t="shared" si="5"/>
        <v>34200.5</v>
      </c>
      <c r="B70" s="59">
        <v>0</v>
      </c>
      <c r="C70" s="54" t="s">
        <v>66</v>
      </c>
      <c r="D70" s="62">
        <v>42.79</v>
      </c>
      <c r="E70" s="56">
        <f t="shared" si="6"/>
        <v>1.3199345641505025</v>
      </c>
      <c r="F70" s="57">
        <f t="shared" si="7"/>
        <v>0.042670523432067266</v>
      </c>
      <c r="G70" s="58">
        <f t="shared" si="4"/>
        <v>0</v>
      </c>
      <c r="IT70"/>
      <c r="IU70"/>
      <c r="IV70"/>
    </row>
    <row r="71" spans="1:256" ht="12" customHeight="1">
      <c r="A71" s="52">
        <f t="shared" si="5"/>
        <v>34231</v>
      </c>
      <c r="B71" s="59">
        <v>0</v>
      </c>
      <c r="C71" s="54" t="s">
        <v>66</v>
      </c>
      <c r="D71" s="62">
        <v>56.48</v>
      </c>
      <c r="E71" s="56">
        <f t="shared" si="6"/>
        <v>1.3438385269121815</v>
      </c>
      <c r="F71" s="57">
        <f t="shared" si="7"/>
        <v>0.032327756686582144</v>
      </c>
      <c r="G71" s="58">
        <f t="shared" si="4"/>
        <v>0</v>
      </c>
      <c r="IT71"/>
      <c r="IU71"/>
      <c r="IV71"/>
    </row>
    <row r="72" spans="1:256" ht="12" customHeight="1">
      <c r="A72" s="52">
        <f t="shared" si="5"/>
        <v>34261.5</v>
      </c>
      <c r="B72" s="59">
        <v>0</v>
      </c>
      <c r="C72" s="54" t="s">
        <v>66</v>
      </c>
      <c r="D72" s="62">
        <v>75.9</v>
      </c>
      <c r="E72" s="56">
        <f t="shared" si="6"/>
        <v>1.3516469038208168</v>
      </c>
      <c r="F72" s="57">
        <f t="shared" si="7"/>
        <v>0.02405628060155678</v>
      </c>
      <c r="G72" s="58">
        <f t="shared" si="4"/>
        <v>0</v>
      </c>
      <c r="IT72"/>
      <c r="IU72"/>
      <c r="IV72"/>
    </row>
    <row r="73" spans="1:256" ht="12" customHeight="1">
      <c r="A73" s="52">
        <f t="shared" si="5"/>
        <v>34292</v>
      </c>
      <c r="B73" s="59">
        <v>0</v>
      </c>
      <c r="C73" s="54" t="s">
        <v>66</v>
      </c>
      <c r="D73" s="62">
        <v>102.59</v>
      </c>
      <c r="E73" s="56">
        <f t="shared" si="6"/>
        <v>1.3390193976021054</v>
      </c>
      <c r="F73" s="57">
        <f t="shared" si="7"/>
        <v>0.017797755118999514</v>
      </c>
      <c r="G73" s="58">
        <f t="shared" si="4"/>
        <v>0</v>
      </c>
      <c r="IT73"/>
      <c r="IU73"/>
      <c r="IV73"/>
    </row>
    <row r="74" spans="1:256" ht="12" customHeight="1">
      <c r="A74" s="52">
        <f t="shared" si="5"/>
        <v>34322.5</v>
      </c>
      <c r="B74" s="59">
        <v>0</v>
      </c>
      <c r="C74" s="54" t="s">
        <v>66</v>
      </c>
      <c r="D74" s="62">
        <v>137.37</v>
      </c>
      <c r="E74" s="56">
        <f t="shared" si="6"/>
        <v>1.366892334570867</v>
      </c>
      <c r="F74" s="57">
        <f t="shared" si="7"/>
        <v>0.013291633527394337</v>
      </c>
      <c r="G74" s="58">
        <f t="shared" si="4"/>
        <v>0</v>
      </c>
      <c r="IT74"/>
      <c r="IU74"/>
      <c r="IV74"/>
    </row>
    <row r="75" spans="1:256" ht="12" customHeight="1">
      <c r="A75" s="52">
        <f t="shared" si="5"/>
        <v>34353</v>
      </c>
      <c r="B75" s="59">
        <v>0</v>
      </c>
      <c r="C75" s="54" t="s">
        <v>66</v>
      </c>
      <c r="D75" s="62">
        <v>187.77</v>
      </c>
      <c r="E75" s="56">
        <f t="shared" si="6"/>
        <v>1.3917026149012088</v>
      </c>
      <c r="F75" s="57">
        <f t="shared" si="7"/>
        <v>0.0097239798565168</v>
      </c>
      <c r="G75" s="58">
        <f t="shared" si="4"/>
        <v>0</v>
      </c>
      <c r="IT75"/>
      <c r="IU75"/>
      <c r="IV75"/>
    </row>
    <row r="76" spans="1:256" ht="12" customHeight="1">
      <c r="A76" s="52">
        <f t="shared" si="5"/>
        <v>34383.5</v>
      </c>
      <c r="B76" s="59">
        <v>0</v>
      </c>
      <c r="C76" s="54" t="s">
        <v>66</v>
      </c>
      <c r="D76" s="62">
        <v>261.32</v>
      </c>
      <c r="E76" s="56">
        <f t="shared" si="6"/>
        <v>1.3969845400275525</v>
      </c>
      <c r="F76" s="57">
        <f t="shared" si="7"/>
        <v>0.00698711043034655</v>
      </c>
      <c r="G76" s="58">
        <f t="shared" si="4"/>
        <v>0</v>
      </c>
      <c r="IT76"/>
      <c r="IU76"/>
      <c r="IV76"/>
    </row>
    <row r="77" spans="1:256" ht="12" customHeight="1">
      <c r="A77" s="52">
        <f t="shared" si="5"/>
        <v>34414</v>
      </c>
      <c r="B77" s="59">
        <v>0</v>
      </c>
      <c r="C77" s="54" t="s">
        <v>66</v>
      </c>
      <c r="D77" s="62">
        <v>365.06</v>
      </c>
      <c r="E77" s="56">
        <f t="shared" si="6"/>
        <v>1.436311839149729</v>
      </c>
      <c r="F77" s="57">
        <f t="shared" si="7"/>
        <v>0.0050015660375230375</v>
      </c>
      <c r="G77" s="58">
        <f t="shared" si="4"/>
        <v>0</v>
      </c>
      <c r="IT77"/>
      <c r="IU77"/>
      <c r="IV77"/>
    </row>
    <row r="78" spans="1:256" ht="12" customHeight="1">
      <c r="A78" s="52">
        <f t="shared" si="5"/>
        <v>34444.5</v>
      </c>
      <c r="B78" s="59">
        <v>0</v>
      </c>
      <c r="C78" s="54" t="s">
        <v>66</v>
      </c>
      <c r="D78" s="62">
        <v>524.34</v>
      </c>
      <c r="E78" s="56">
        <f t="shared" si="6"/>
        <v>1.4124995232101307</v>
      </c>
      <c r="F78" s="57">
        <f t="shared" si="7"/>
        <v>0.003482228511382231</v>
      </c>
      <c r="G78" s="58">
        <f t="shared" si="4"/>
        <v>0</v>
      </c>
      <c r="IT78"/>
      <c r="IU78"/>
      <c r="IV78"/>
    </row>
    <row r="79" spans="1:256" ht="12" customHeight="1">
      <c r="A79" s="52">
        <f t="shared" si="5"/>
        <v>34475</v>
      </c>
      <c r="B79" s="59">
        <v>0</v>
      </c>
      <c r="C79" s="54" t="s">
        <v>66</v>
      </c>
      <c r="D79" s="62">
        <v>740.63</v>
      </c>
      <c r="E79" s="56">
        <f t="shared" si="6"/>
        <v>1.4420965934407193</v>
      </c>
      <c r="F79" s="57">
        <f t="shared" si="7"/>
        <v>0.002465295353493862</v>
      </c>
      <c r="G79" s="58">
        <f aca="true" t="shared" si="8" ref="G79:G98">+B79*F79</f>
        <v>0</v>
      </c>
      <c r="IT79"/>
      <c r="IU79"/>
      <c r="IV79"/>
    </row>
    <row r="80" spans="1:256" ht="12" customHeight="1">
      <c r="A80" s="52">
        <f aca="true" t="shared" si="9" ref="A80:A97">+A79+30.5</f>
        <v>34505.5</v>
      </c>
      <c r="B80" s="59">
        <v>0</v>
      </c>
      <c r="C80" s="54" t="s">
        <v>66</v>
      </c>
      <c r="D80" s="62">
        <v>1068.06</v>
      </c>
      <c r="E80" s="56">
        <f t="shared" si="6"/>
        <v>0.0005260004119618749</v>
      </c>
      <c r="F80" s="57">
        <f t="shared" si="7"/>
        <v>0.0017095216538941256</v>
      </c>
      <c r="G80" s="58">
        <f t="shared" si="8"/>
        <v>0</v>
      </c>
      <c r="IT80"/>
      <c r="IU80"/>
      <c r="IV80"/>
    </row>
    <row r="81" spans="1:256" ht="12" customHeight="1">
      <c r="A81" s="52">
        <f t="shared" si="9"/>
        <v>34536</v>
      </c>
      <c r="B81" s="59">
        <v>0</v>
      </c>
      <c r="C81" s="54" t="s">
        <v>67</v>
      </c>
      <c r="D81" s="60">
        <v>0.5618000000000001</v>
      </c>
      <c r="E81" s="56">
        <f t="shared" si="6"/>
        <v>1.0521537913848344</v>
      </c>
      <c r="F81" s="57">
        <f t="shared" si="7"/>
        <v>3.2500386216770383</v>
      </c>
      <c r="G81" s="58">
        <f t="shared" si="8"/>
        <v>0</v>
      </c>
      <c r="IT81"/>
      <c r="IU81"/>
      <c r="IV81"/>
    </row>
    <row r="82" spans="1:256" ht="12" customHeight="1">
      <c r="A82" s="52">
        <f t="shared" si="9"/>
        <v>34566.5</v>
      </c>
      <c r="B82" s="59">
        <v>0</v>
      </c>
      <c r="C82" s="54" t="s">
        <v>67</v>
      </c>
      <c r="D82" s="60">
        <v>0.5911000000000001</v>
      </c>
      <c r="E82" s="56">
        <f t="shared" si="6"/>
        <v>1.0500761292505498</v>
      </c>
      <c r="F82" s="57">
        <f t="shared" si="7"/>
        <v>3.0889387542854987</v>
      </c>
      <c r="G82" s="58">
        <f t="shared" si="8"/>
        <v>0</v>
      </c>
      <c r="IT82"/>
      <c r="IU82"/>
      <c r="IV82"/>
    </row>
    <row r="83" spans="1:256" ht="12" customHeight="1">
      <c r="A83" s="52">
        <f t="shared" si="9"/>
        <v>34597</v>
      </c>
      <c r="B83" s="59">
        <v>0</v>
      </c>
      <c r="C83" s="54" t="s">
        <v>67</v>
      </c>
      <c r="D83" s="60">
        <v>0.6207</v>
      </c>
      <c r="E83" s="56">
        <f t="shared" si="6"/>
        <v>1.0162719510230385</v>
      </c>
      <c r="F83" s="57">
        <f t="shared" si="7"/>
        <v>2.9416331523411623</v>
      </c>
      <c r="G83" s="58">
        <f t="shared" si="8"/>
        <v>0</v>
      </c>
      <c r="IT83"/>
      <c r="IU83"/>
      <c r="IV83"/>
    </row>
    <row r="84" spans="1:256" ht="12" customHeight="1">
      <c r="A84" s="52">
        <f t="shared" si="9"/>
        <v>34627.5</v>
      </c>
      <c r="B84" s="59">
        <v>0</v>
      </c>
      <c r="C84" s="54" t="s">
        <v>67</v>
      </c>
      <c r="D84" s="60">
        <v>0.6308</v>
      </c>
      <c r="E84" s="56">
        <f t="shared" si="6"/>
        <v>1.019023462270133</v>
      </c>
      <c r="F84" s="57">
        <f t="shared" si="7"/>
        <v>2.8945334458753336</v>
      </c>
      <c r="G84" s="58">
        <f t="shared" si="8"/>
        <v>0</v>
      </c>
      <c r="IT84"/>
      <c r="IU84"/>
      <c r="IV84"/>
    </row>
    <row r="85" spans="1:256" ht="12" customHeight="1">
      <c r="A85" s="52">
        <f t="shared" si="9"/>
        <v>34658</v>
      </c>
      <c r="B85" s="59">
        <v>0</v>
      </c>
      <c r="C85" s="54" t="s">
        <v>67</v>
      </c>
      <c r="D85" s="60">
        <v>0.6428</v>
      </c>
      <c r="E85" s="56">
        <f t="shared" si="6"/>
        <v>1.0295581829495954</v>
      </c>
      <c r="F85" s="57">
        <f t="shared" si="7"/>
        <v>2.8404973516772873</v>
      </c>
      <c r="G85" s="58">
        <f t="shared" si="8"/>
        <v>0</v>
      </c>
      <c r="IT85"/>
      <c r="IU85"/>
      <c r="IV85"/>
    </row>
    <row r="86" spans="1:256" ht="12" customHeight="1">
      <c r="A86" s="52">
        <f t="shared" si="9"/>
        <v>34688.5</v>
      </c>
      <c r="B86" s="59">
        <v>0</v>
      </c>
      <c r="C86" s="54" t="s">
        <v>67</v>
      </c>
      <c r="D86" s="60">
        <v>0.6618</v>
      </c>
      <c r="E86" s="56">
        <f t="shared" si="6"/>
        <v>1.0225143547899669</v>
      </c>
      <c r="F86" s="57">
        <f t="shared" si="7"/>
        <v>2.758947865908372</v>
      </c>
      <c r="G86" s="58">
        <f t="shared" si="8"/>
        <v>0</v>
      </c>
      <c r="IT86"/>
      <c r="IU86"/>
      <c r="IV86"/>
    </row>
    <row r="87" spans="1:256" ht="12" customHeight="1">
      <c r="A87" s="52">
        <f t="shared" si="9"/>
        <v>34719</v>
      </c>
      <c r="B87" s="59">
        <v>0</v>
      </c>
      <c r="C87" s="54" t="s">
        <v>67</v>
      </c>
      <c r="D87" s="60">
        <v>0.6767000000000001</v>
      </c>
      <c r="E87" s="56">
        <f t="shared" si="6"/>
        <v>1</v>
      </c>
      <c r="F87" s="57">
        <f t="shared" si="7"/>
        <v>2.6981996418769905</v>
      </c>
      <c r="G87" s="58">
        <f t="shared" si="8"/>
        <v>0</v>
      </c>
      <c r="IT87"/>
      <c r="IU87"/>
      <c r="IV87"/>
    </row>
    <row r="88" spans="1:256" ht="12" customHeight="1">
      <c r="A88" s="52">
        <f t="shared" si="9"/>
        <v>34749.5</v>
      </c>
      <c r="B88" s="59">
        <v>0</v>
      </c>
      <c r="C88" s="54" t="s">
        <v>67</v>
      </c>
      <c r="D88" s="60">
        <v>0.6767000000000001</v>
      </c>
      <c r="E88" s="56">
        <f t="shared" si="6"/>
        <v>1</v>
      </c>
      <c r="F88" s="57">
        <f t="shared" si="7"/>
        <v>2.6981996418769905</v>
      </c>
      <c r="G88" s="58">
        <f t="shared" si="8"/>
        <v>0</v>
      </c>
      <c r="IT88"/>
      <c r="IU88"/>
      <c r="IV88"/>
    </row>
    <row r="89" spans="1:256" ht="12" customHeight="1">
      <c r="A89" s="52">
        <f t="shared" si="9"/>
        <v>34780</v>
      </c>
      <c r="B89" s="59">
        <v>0</v>
      </c>
      <c r="C89" s="54" t="s">
        <v>67</v>
      </c>
      <c r="D89" s="60">
        <v>0.6767000000000001</v>
      </c>
      <c r="E89" s="56">
        <f t="shared" si="6"/>
        <v>1.043446135658342</v>
      </c>
      <c r="F89" s="57">
        <f t="shared" si="7"/>
        <v>2.6981996418769905</v>
      </c>
      <c r="G89" s="58">
        <f t="shared" si="8"/>
        <v>0</v>
      </c>
      <c r="IT89"/>
      <c r="IU89"/>
      <c r="IV89"/>
    </row>
    <row r="90" spans="1:256" ht="12" customHeight="1">
      <c r="A90" s="52">
        <f t="shared" si="9"/>
        <v>34810.5</v>
      </c>
      <c r="B90" s="59">
        <v>0</v>
      </c>
      <c r="C90" s="54" t="s">
        <v>67</v>
      </c>
      <c r="D90" s="60">
        <v>0.7061000000000001</v>
      </c>
      <c r="E90" s="56">
        <f t="shared" si="6"/>
        <v>1</v>
      </c>
      <c r="F90" s="57">
        <f t="shared" si="7"/>
        <v>2.5858542666168525</v>
      </c>
      <c r="G90" s="58">
        <f t="shared" si="8"/>
        <v>0</v>
      </c>
      <c r="IT90"/>
      <c r="IU90"/>
      <c r="IV90"/>
    </row>
    <row r="91" spans="1:7" ht="12" customHeight="1">
      <c r="A91" s="52">
        <f t="shared" si="9"/>
        <v>34841</v>
      </c>
      <c r="B91" s="59">
        <v>0</v>
      </c>
      <c r="C91" s="54" t="s">
        <v>67</v>
      </c>
      <c r="D91" s="60">
        <v>0.7061000000000001</v>
      </c>
      <c r="E91" s="56">
        <f t="shared" si="6"/>
        <v>1</v>
      </c>
      <c r="F91" s="57">
        <f t="shared" si="7"/>
        <v>2.5858542666168525</v>
      </c>
      <c r="G91" s="58">
        <f t="shared" si="8"/>
        <v>0</v>
      </c>
    </row>
    <row r="92" spans="1:7" ht="12" customHeight="1">
      <c r="A92" s="52">
        <f t="shared" si="9"/>
        <v>34871.5</v>
      </c>
      <c r="B92" s="59">
        <v>0</v>
      </c>
      <c r="C92" s="54" t="s">
        <v>67</v>
      </c>
      <c r="D92" s="60">
        <v>0.7061000000000001</v>
      </c>
      <c r="E92" s="56">
        <f t="shared" si="6"/>
        <v>1.071236368786291</v>
      </c>
      <c r="F92" s="57">
        <f t="shared" si="7"/>
        <v>2.5858542666168525</v>
      </c>
      <c r="G92" s="58">
        <f t="shared" si="8"/>
        <v>0</v>
      </c>
    </row>
    <row r="93" spans="1:7" ht="12" customHeight="1">
      <c r="A93" s="52">
        <f t="shared" si="9"/>
        <v>34902</v>
      </c>
      <c r="B93" s="59">
        <v>0</v>
      </c>
      <c r="C93" s="54" t="s">
        <v>67</v>
      </c>
      <c r="D93" s="60">
        <v>0.7564000000000001</v>
      </c>
      <c r="E93" s="56">
        <f t="shared" si="6"/>
        <v>1</v>
      </c>
      <c r="F93" s="57">
        <f t="shared" si="7"/>
        <v>2.4138970090668415</v>
      </c>
      <c r="G93" s="58">
        <f t="shared" si="8"/>
        <v>0</v>
      </c>
    </row>
    <row r="94" spans="1:7" ht="12" customHeight="1">
      <c r="A94" s="52">
        <f t="shared" si="9"/>
        <v>34932.5</v>
      </c>
      <c r="B94" s="59">
        <v>0</v>
      </c>
      <c r="C94" s="54" t="s">
        <v>67</v>
      </c>
      <c r="D94" s="60">
        <v>0.7564000000000001</v>
      </c>
      <c r="E94" s="56">
        <f t="shared" si="6"/>
        <v>1</v>
      </c>
      <c r="F94" s="57">
        <f t="shared" si="7"/>
        <v>2.4138970090668415</v>
      </c>
      <c r="G94" s="58">
        <f t="shared" si="8"/>
        <v>0</v>
      </c>
    </row>
    <row r="95" spans="1:7" ht="12" customHeight="1">
      <c r="A95" s="52">
        <f t="shared" si="9"/>
        <v>34963</v>
      </c>
      <c r="B95" s="59">
        <v>0</v>
      </c>
      <c r="C95" s="54" t="s">
        <v>67</v>
      </c>
      <c r="D95" s="60">
        <v>0.7564000000000001</v>
      </c>
      <c r="E95" s="56">
        <f t="shared" si="6"/>
        <v>1.0512956107879428</v>
      </c>
      <c r="F95" s="57">
        <f t="shared" si="7"/>
        <v>2.4138970090668415</v>
      </c>
      <c r="G95" s="58">
        <f t="shared" si="8"/>
        <v>0</v>
      </c>
    </row>
    <row r="96" spans="1:7" ht="12" customHeight="1">
      <c r="A96" s="52">
        <f t="shared" si="9"/>
        <v>34993.5</v>
      </c>
      <c r="B96" s="59">
        <v>0</v>
      </c>
      <c r="C96" s="54" t="s">
        <v>67</v>
      </c>
      <c r="D96" s="60">
        <v>0.7952</v>
      </c>
      <c r="E96" s="56">
        <f t="shared" si="6"/>
        <v>1</v>
      </c>
      <c r="F96" s="57">
        <f t="shared" si="7"/>
        <v>2.296116319992652</v>
      </c>
      <c r="G96" s="58">
        <f t="shared" si="8"/>
        <v>0</v>
      </c>
    </row>
    <row r="97" spans="1:7" ht="12" customHeight="1">
      <c r="A97" s="52">
        <f t="shared" si="9"/>
        <v>35024</v>
      </c>
      <c r="B97" s="59">
        <v>0</v>
      </c>
      <c r="C97" s="54" t="s">
        <v>67</v>
      </c>
      <c r="D97" s="60">
        <v>0.7952</v>
      </c>
      <c r="E97" s="56">
        <f t="shared" si="6"/>
        <v>1</v>
      </c>
      <c r="F97" s="57">
        <f t="shared" si="7"/>
        <v>2.296116319992652</v>
      </c>
      <c r="G97" s="58">
        <f t="shared" si="8"/>
        <v>0</v>
      </c>
    </row>
    <row r="98" spans="1:7" ht="12" customHeight="1">
      <c r="A98" s="52">
        <v>35048</v>
      </c>
      <c r="B98" s="59">
        <v>0</v>
      </c>
      <c r="C98" s="54" t="s">
        <v>67</v>
      </c>
      <c r="D98" s="60">
        <v>0.7952</v>
      </c>
      <c r="E98" s="56">
        <f>+D103/D98</f>
        <v>1.0421277665995976</v>
      </c>
      <c r="F98" s="57">
        <f t="shared" si="7"/>
        <v>2.296116319992652</v>
      </c>
      <c r="G98" s="58">
        <f t="shared" si="8"/>
        <v>0</v>
      </c>
    </row>
    <row r="99" spans="1:7" ht="12" customHeight="1">
      <c r="A99" s="200" t="s">
        <v>68</v>
      </c>
      <c r="B99" s="200"/>
      <c r="C99" s="200"/>
      <c r="D99" s="200"/>
      <c r="E99" s="200"/>
      <c r="F99" s="200"/>
      <c r="G99" s="58">
        <f>SUM(G15:G98)</f>
        <v>0</v>
      </c>
    </row>
    <row r="100" ht="12" customHeight="1">
      <c r="A100" s="63"/>
    </row>
    <row r="101" spans="1:7" ht="12.75" customHeight="1" hidden="1">
      <c r="A101" s="184" t="s">
        <v>69</v>
      </c>
      <c r="B101" s="184"/>
      <c r="C101" s="184"/>
      <c r="D101" s="184"/>
      <c r="E101" s="184"/>
      <c r="F101" s="184"/>
      <c r="G101" s="184"/>
    </row>
    <row r="102" spans="1:7" ht="12.75" customHeight="1" hidden="1">
      <c r="A102" s="184"/>
      <c r="B102" s="184"/>
      <c r="C102" s="184"/>
      <c r="D102" s="184"/>
      <c r="E102" s="184"/>
      <c r="F102" s="184"/>
      <c r="G102" s="184"/>
    </row>
    <row r="103" spans="1:7" ht="12.75" customHeight="1" hidden="1">
      <c r="A103" s="52">
        <f>+A98+30.5</f>
        <v>35078.5</v>
      </c>
      <c r="B103" s="64"/>
      <c r="C103" s="54" t="s">
        <v>67</v>
      </c>
      <c r="D103" s="65">
        <v>0.8287</v>
      </c>
      <c r="E103" s="56">
        <f aca="true" t="shared" si="10" ref="E103:E134">+D104/D103</f>
        <v>1</v>
      </c>
      <c r="F103" s="66"/>
      <c r="G103" s="67"/>
    </row>
    <row r="104" spans="1:7" ht="12.75" customHeight="1" hidden="1">
      <c r="A104" s="52">
        <f aca="true" t="shared" si="11" ref="A104:A135">+A103+30.5</f>
        <v>35109</v>
      </c>
      <c r="B104" s="64"/>
      <c r="C104" s="54" t="s">
        <v>67</v>
      </c>
      <c r="D104" s="65">
        <v>0.8287</v>
      </c>
      <c r="E104" s="56">
        <f t="shared" si="10"/>
        <v>1</v>
      </c>
      <c r="F104" s="66"/>
      <c r="G104" s="67"/>
    </row>
    <row r="105" spans="1:7" ht="12.75" customHeight="1" hidden="1">
      <c r="A105" s="52">
        <f t="shared" si="11"/>
        <v>35139.5</v>
      </c>
      <c r="B105" s="64"/>
      <c r="C105" s="54" t="s">
        <v>67</v>
      </c>
      <c r="D105" s="65">
        <v>0.8287</v>
      </c>
      <c r="E105" s="56">
        <f t="shared" si="10"/>
        <v>1</v>
      </c>
      <c r="F105" s="66"/>
      <c r="G105" s="67"/>
    </row>
    <row r="106" spans="1:7" ht="12.75" customHeight="1" hidden="1">
      <c r="A106" s="52">
        <f t="shared" si="11"/>
        <v>35170</v>
      </c>
      <c r="B106" s="64"/>
      <c r="C106" s="54" t="s">
        <v>67</v>
      </c>
      <c r="D106" s="65">
        <v>0.8287</v>
      </c>
      <c r="E106" s="56">
        <f t="shared" si="10"/>
        <v>1</v>
      </c>
      <c r="F106" s="66"/>
      <c r="G106" s="67"/>
    </row>
    <row r="107" spans="1:7" ht="12.75" customHeight="1" hidden="1">
      <c r="A107" s="52">
        <f t="shared" si="11"/>
        <v>35200.5</v>
      </c>
      <c r="B107" s="64"/>
      <c r="C107" s="54" t="s">
        <v>67</v>
      </c>
      <c r="D107" s="65">
        <v>0.8287</v>
      </c>
      <c r="E107" s="56">
        <f t="shared" si="10"/>
        <v>1</v>
      </c>
      <c r="F107" s="66"/>
      <c r="G107" s="67"/>
    </row>
    <row r="108" spans="1:7" ht="12.75" customHeight="1" hidden="1">
      <c r="A108" s="52">
        <f t="shared" si="11"/>
        <v>35231</v>
      </c>
      <c r="B108" s="64"/>
      <c r="C108" s="54" t="s">
        <v>67</v>
      </c>
      <c r="D108" s="65">
        <v>0.8287</v>
      </c>
      <c r="E108" s="56">
        <f t="shared" si="10"/>
        <v>1.067575721008809</v>
      </c>
      <c r="F108" s="66"/>
      <c r="G108" s="67"/>
    </row>
    <row r="109" spans="1:7" ht="12.75" customHeight="1" hidden="1">
      <c r="A109" s="52">
        <f t="shared" si="11"/>
        <v>35261.5</v>
      </c>
      <c r="B109" s="64"/>
      <c r="C109" s="54" t="s">
        <v>67</v>
      </c>
      <c r="D109" s="65">
        <v>0.8847</v>
      </c>
      <c r="E109" s="56">
        <f t="shared" si="10"/>
        <v>1</v>
      </c>
      <c r="F109" s="66"/>
      <c r="G109" s="67"/>
    </row>
    <row r="110" spans="1:7" ht="12.75" customHeight="1" hidden="1">
      <c r="A110" s="52">
        <f t="shared" si="11"/>
        <v>35292</v>
      </c>
      <c r="B110" s="64"/>
      <c r="C110" s="54" t="s">
        <v>67</v>
      </c>
      <c r="D110" s="65">
        <v>0.8847</v>
      </c>
      <c r="E110" s="56">
        <f t="shared" si="10"/>
        <v>1</v>
      </c>
      <c r="F110" s="66"/>
      <c r="G110" s="67"/>
    </row>
    <row r="111" spans="1:7" ht="12.75" customHeight="1" hidden="1">
      <c r="A111" s="52">
        <f t="shared" si="11"/>
        <v>35322.5</v>
      </c>
      <c r="B111" s="64"/>
      <c r="C111" s="54" t="s">
        <v>67</v>
      </c>
      <c r="D111" s="65">
        <v>0.8847</v>
      </c>
      <c r="E111" s="56">
        <f t="shared" si="10"/>
        <v>1</v>
      </c>
      <c r="F111" s="66"/>
      <c r="G111" s="67"/>
    </row>
    <row r="112" spans="1:7" ht="12.75" customHeight="1" hidden="1">
      <c r="A112" s="52">
        <f t="shared" si="11"/>
        <v>35353</v>
      </c>
      <c r="B112" s="64"/>
      <c r="C112" s="54" t="s">
        <v>67</v>
      </c>
      <c r="D112" s="65">
        <v>0.8847</v>
      </c>
      <c r="E112" s="56">
        <f t="shared" si="10"/>
        <v>1</v>
      </c>
      <c r="F112" s="66"/>
      <c r="G112" s="67"/>
    </row>
    <row r="113" spans="1:7" ht="12.75" customHeight="1" hidden="1">
      <c r="A113" s="52">
        <f t="shared" si="11"/>
        <v>35383.5</v>
      </c>
      <c r="B113" s="64"/>
      <c r="C113" s="54" t="s">
        <v>67</v>
      </c>
      <c r="D113" s="65">
        <v>0.8847</v>
      </c>
      <c r="E113" s="56">
        <f t="shared" si="10"/>
        <v>1</v>
      </c>
      <c r="F113" s="66"/>
      <c r="G113" s="67"/>
    </row>
    <row r="114" spans="1:7" ht="12.75" customHeight="1" hidden="1">
      <c r="A114" s="52">
        <f t="shared" si="11"/>
        <v>35414</v>
      </c>
      <c r="B114" s="64"/>
      <c r="C114" s="54" t="s">
        <v>67</v>
      </c>
      <c r="D114" s="65">
        <v>0.8847</v>
      </c>
      <c r="E114" s="56">
        <f t="shared" si="10"/>
        <v>1.029501525940997</v>
      </c>
      <c r="F114" s="66"/>
      <c r="G114" s="67"/>
    </row>
    <row r="115" spans="1:7" ht="12.75" customHeight="1" hidden="1">
      <c r="A115" s="52">
        <f t="shared" si="11"/>
        <v>35444.5</v>
      </c>
      <c r="B115" s="64"/>
      <c r="C115" s="54" t="s">
        <v>67</v>
      </c>
      <c r="D115" s="68">
        <v>0.9108</v>
      </c>
      <c r="E115" s="56">
        <f t="shared" si="10"/>
        <v>1</v>
      </c>
      <c r="F115" s="66"/>
      <c r="G115" s="67"/>
    </row>
    <row r="116" spans="1:7" ht="12.75" customHeight="1" hidden="1">
      <c r="A116" s="52">
        <f t="shared" si="11"/>
        <v>35475</v>
      </c>
      <c r="B116" s="64"/>
      <c r="C116" s="54" t="s">
        <v>67</v>
      </c>
      <c r="D116" s="68">
        <v>0.9108</v>
      </c>
      <c r="E116" s="56">
        <f t="shared" si="10"/>
        <v>1</v>
      </c>
      <c r="F116" s="66"/>
      <c r="G116" s="67"/>
    </row>
    <row r="117" spans="1:7" ht="12.75" customHeight="1" hidden="1">
      <c r="A117" s="52">
        <f t="shared" si="11"/>
        <v>35505.5</v>
      </c>
      <c r="B117" s="64"/>
      <c r="C117" s="54" t="s">
        <v>67</v>
      </c>
      <c r="D117" s="68">
        <v>0.9108</v>
      </c>
      <c r="E117" s="56">
        <f t="shared" si="10"/>
        <v>1</v>
      </c>
      <c r="F117" s="66"/>
      <c r="G117" s="67"/>
    </row>
    <row r="118" spans="1:7" ht="12.75" customHeight="1" hidden="1">
      <c r="A118" s="52">
        <f t="shared" si="11"/>
        <v>35536</v>
      </c>
      <c r="B118" s="64"/>
      <c r="C118" s="54" t="s">
        <v>67</v>
      </c>
      <c r="D118" s="68">
        <v>0.9108</v>
      </c>
      <c r="E118" s="56">
        <f t="shared" si="10"/>
        <v>1</v>
      </c>
      <c r="F118" s="66"/>
      <c r="G118" s="67"/>
    </row>
    <row r="119" spans="1:7" ht="12.75" customHeight="1" hidden="1">
      <c r="A119" s="52">
        <f t="shared" si="11"/>
        <v>35566.5</v>
      </c>
      <c r="B119" s="64"/>
      <c r="C119" s="54" t="s">
        <v>67</v>
      </c>
      <c r="D119" s="68">
        <v>0.9108</v>
      </c>
      <c r="E119" s="56">
        <f t="shared" si="10"/>
        <v>1</v>
      </c>
      <c r="F119" s="66"/>
      <c r="G119" s="67"/>
    </row>
    <row r="120" spans="1:7" ht="12.75" customHeight="1" hidden="1">
      <c r="A120" s="52">
        <f t="shared" si="11"/>
        <v>35597</v>
      </c>
      <c r="B120" s="64"/>
      <c r="C120" s="54" t="s">
        <v>67</v>
      </c>
      <c r="D120" s="68">
        <v>0.9108</v>
      </c>
      <c r="E120" s="56">
        <f t="shared" si="10"/>
        <v>1</v>
      </c>
      <c r="F120" s="66"/>
      <c r="G120" s="67"/>
    </row>
    <row r="121" spans="1:7" ht="12.75" customHeight="1" hidden="1">
      <c r="A121" s="52">
        <f t="shared" si="11"/>
        <v>35627.5</v>
      </c>
      <c r="B121" s="64"/>
      <c r="C121" s="54" t="s">
        <v>67</v>
      </c>
      <c r="D121" s="68">
        <v>0.9108</v>
      </c>
      <c r="E121" s="56">
        <f t="shared" si="10"/>
        <v>1</v>
      </c>
      <c r="F121" s="66"/>
      <c r="G121" s="67"/>
    </row>
    <row r="122" spans="1:7" ht="12.75" customHeight="1" hidden="1">
      <c r="A122" s="52">
        <f t="shared" si="11"/>
        <v>35658</v>
      </c>
      <c r="B122" s="64"/>
      <c r="C122" s="54" t="s">
        <v>67</v>
      </c>
      <c r="D122" s="68">
        <v>0.9108</v>
      </c>
      <c r="E122" s="56">
        <f t="shared" si="10"/>
        <v>1</v>
      </c>
      <c r="F122" s="66"/>
      <c r="G122" s="67"/>
    </row>
    <row r="123" spans="1:7" ht="12.75" customHeight="1" hidden="1">
      <c r="A123" s="52">
        <f t="shared" si="11"/>
        <v>35688.5</v>
      </c>
      <c r="B123" s="64"/>
      <c r="C123" s="54" t="s">
        <v>67</v>
      </c>
      <c r="D123" s="68">
        <v>0.9108</v>
      </c>
      <c r="E123" s="56">
        <f t="shared" si="10"/>
        <v>1</v>
      </c>
      <c r="F123" s="66"/>
      <c r="G123" s="67"/>
    </row>
    <row r="124" spans="1:7" ht="12.75" customHeight="1" hidden="1">
      <c r="A124" s="52">
        <f t="shared" si="11"/>
        <v>35719</v>
      </c>
      <c r="B124" s="64"/>
      <c r="C124" s="54" t="s">
        <v>67</v>
      </c>
      <c r="D124" s="68">
        <v>0.9108</v>
      </c>
      <c r="E124" s="56">
        <f t="shared" si="10"/>
        <v>1</v>
      </c>
      <c r="F124" s="66"/>
      <c r="G124" s="67"/>
    </row>
    <row r="125" spans="1:7" ht="12.75" customHeight="1" hidden="1">
      <c r="A125" s="52">
        <f t="shared" si="11"/>
        <v>35749.5</v>
      </c>
      <c r="B125" s="64"/>
      <c r="C125" s="54" t="s">
        <v>67</v>
      </c>
      <c r="D125" s="68">
        <v>0.9108</v>
      </c>
      <c r="E125" s="56">
        <f t="shared" si="10"/>
        <v>1</v>
      </c>
      <c r="F125" s="66"/>
      <c r="G125" s="67"/>
    </row>
    <row r="126" spans="1:7" ht="12.75" customHeight="1" hidden="1">
      <c r="A126" s="52">
        <f t="shared" si="11"/>
        <v>35780</v>
      </c>
      <c r="B126" s="64"/>
      <c r="C126" s="54" t="s">
        <v>67</v>
      </c>
      <c r="D126" s="68">
        <v>0.9108</v>
      </c>
      <c r="E126" s="56">
        <f t="shared" si="10"/>
        <v>1.0552261747913922</v>
      </c>
      <c r="F126" s="66"/>
      <c r="G126" s="67"/>
    </row>
    <row r="127" spans="1:7" ht="12.75" customHeight="1" hidden="1">
      <c r="A127" s="52">
        <f t="shared" si="11"/>
        <v>35810.5</v>
      </c>
      <c r="B127" s="64"/>
      <c r="C127" s="54" t="s">
        <v>67</v>
      </c>
      <c r="D127" s="68">
        <v>0.9611000000000001</v>
      </c>
      <c r="E127" s="56">
        <f t="shared" si="10"/>
        <v>1</v>
      </c>
      <c r="F127" s="66"/>
      <c r="G127" s="67"/>
    </row>
    <row r="128" spans="1:7" ht="12.75" customHeight="1" hidden="1">
      <c r="A128" s="52">
        <f t="shared" si="11"/>
        <v>35841</v>
      </c>
      <c r="B128" s="64"/>
      <c r="C128" s="54" t="s">
        <v>67</v>
      </c>
      <c r="D128" s="68">
        <v>0.9611000000000001</v>
      </c>
      <c r="E128" s="56">
        <f t="shared" si="10"/>
        <v>1</v>
      </c>
      <c r="F128" s="66"/>
      <c r="G128" s="67"/>
    </row>
    <row r="129" spans="1:7" ht="12.75" customHeight="1" hidden="1">
      <c r="A129" s="52">
        <f t="shared" si="11"/>
        <v>35871.5</v>
      </c>
      <c r="B129" s="64"/>
      <c r="C129" s="54" t="s">
        <v>67</v>
      </c>
      <c r="D129" s="68">
        <v>0.9611000000000001</v>
      </c>
      <c r="E129" s="56">
        <f t="shared" si="10"/>
        <v>1</v>
      </c>
      <c r="F129" s="66"/>
      <c r="G129" s="67"/>
    </row>
    <row r="130" spans="1:7" ht="12.75" customHeight="1" hidden="1">
      <c r="A130" s="52">
        <f t="shared" si="11"/>
        <v>35902</v>
      </c>
      <c r="B130" s="64"/>
      <c r="C130" s="54" t="s">
        <v>67</v>
      </c>
      <c r="D130" s="68">
        <v>0.9611000000000001</v>
      </c>
      <c r="E130" s="56">
        <f t="shared" si="10"/>
        <v>1</v>
      </c>
      <c r="F130" s="66"/>
      <c r="G130" s="67"/>
    </row>
    <row r="131" spans="1:7" ht="12.75" customHeight="1" hidden="1">
      <c r="A131" s="52">
        <f t="shared" si="11"/>
        <v>35932.5</v>
      </c>
      <c r="B131" s="64"/>
      <c r="C131" s="54" t="s">
        <v>67</v>
      </c>
      <c r="D131" s="68">
        <v>0.9611000000000001</v>
      </c>
      <c r="E131" s="56">
        <f t="shared" si="10"/>
        <v>1</v>
      </c>
      <c r="F131" s="66"/>
      <c r="G131" s="67"/>
    </row>
    <row r="132" spans="1:7" ht="12.75" customHeight="1" hidden="1">
      <c r="A132" s="52">
        <f t="shared" si="11"/>
        <v>35963</v>
      </c>
      <c r="B132" s="64"/>
      <c r="C132" s="54" t="s">
        <v>67</v>
      </c>
      <c r="D132" s="68">
        <v>0.9611000000000001</v>
      </c>
      <c r="E132" s="56">
        <f t="shared" si="10"/>
        <v>1</v>
      </c>
      <c r="F132" s="66"/>
      <c r="G132" s="67"/>
    </row>
    <row r="133" spans="1:7" ht="12.75" customHeight="1" hidden="1">
      <c r="A133" s="52">
        <f t="shared" si="11"/>
        <v>35993.5</v>
      </c>
      <c r="B133" s="64"/>
      <c r="C133" s="54" t="s">
        <v>67</v>
      </c>
      <c r="D133" s="68">
        <v>0.9611000000000001</v>
      </c>
      <c r="E133" s="56">
        <f t="shared" si="10"/>
        <v>1</v>
      </c>
      <c r="F133" s="66"/>
      <c r="G133" s="67"/>
    </row>
    <row r="134" spans="1:7" ht="12.75" customHeight="1" hidden="1">
      <c r="A134" s="52">
        <f t="shared" si="11"/>
        <v>36024</v>
      </c>
      <c r="B134" s="64"/>
      <c r="C134" s="54" t="s">
        <v>67</v>
      </c>
      <c r="D134" s="68">
        <v>0.9611000000000001</v>
      </c>
      <c r="E134" s="56">
        <f t="shared" si="10"/>
        <v>1</v>
      </c>
      <c r="F134" s="66"/>
      <c r="G134" s="67"/>
    </row>
    <row r="135" spans="1:7" ht="12.75" customHeight="1" hidden="1">
      <c r="A135" s="52">
        <f t="shared" si="11"/>
        <v>36054.5</v>
      </c>
      <c r="B135" s="64"/>
      <c r="C135" s="54" t="s">
        <v>67</v>
      </c>
      <c r="D135" s="68">
        <v>0.9611000000000001</v>
      </c>
      <c r="E135" s="56">
        <f aca="true" t="shared" si="12" ref="E135:E160">+D136/D135</f>
        <v>1</v>
      </c>
      <c r="F135" s="66"/>
      <c r="G135" s="67"/>
    </row>
    <row r="136" spans="1:7" ht="12.75" customHeight="1" hidden="1">
      <c r="A136" s="52">
        <f aca="true" t="shared" si="13" ref="A136:A167">+A135+30.5</f>
        <v>36085</v>
      </c>
      <c r="B136" s="64"/>
      <c r="C136" s="54" t="s">
        <v>67</v>
      </c>
      <c r="D136" s="68">
        <v>0.9611000000000001</v>
      </c>
      <c r="E136" s="56">
        <f t="shared" si="12"/>
        <v>1</v>
      </c>
      <c r="F136" s="66"/>
      <c r="G136" s="67"/>
    </row>
    <row r="137" spans="1:7" ht="12.75" customHeight="1" hidden="1">
      <c r="A137" s="52">
        <f t="shared" si="13"/>
        <v>36115.5</v>
      </c>
      <c r="B137" s="64"/>
      <c r="C137" s="54" t="s">
        <v>67</v>
      </c>
      <c r="D137" s="68">
        <v>0.9611000000000001</v>
      </c>
      <c r="E137" s="56">
        <f t="shared" si="12"/>
        <v>1</v>
      </c>
      <c r="F137" s="66"/>
      <c r="G137" s="67"/>
    </row>
    <row r="138" spans="1:7" ht="12.75" customHeight="1" hidden="1">
      <c r="A138" s="52">
        <f t="shared" si="13"/>
        <v>36146</v>
      </c>
      <c r="B138" s="64"/>
      <c r="C138" s="54" t="s">
        <v>67</v>
      </c>
      <c r="D138" s="68">
        <v>0.9611000000000001</v>
      </c>
      <c r="E138" s="56">
        <f t="shared" si="12"/>
        <v>1.0165435438559982</v>
      </c>
      <c r="F138" s="66"/>
      <c r="G138" s="67"/>
    </row>
    <row r="139" spans="1:7" ht="12.75" customHeight="1" hidden="1">
      <c r="A139" s="52">
        <f t="shared" si="13"/>
        <v>36176.5</v>
      </c>
      <c r="B139" s="64"/>
      <c r="C139" s="54" t="s">
        <v>67</v>
      </c>
      <c r="D139" s="68">
        <v>0.977</v>
      </c>
      <c r="E139" s="56">
        <f t="shared" si="12"/>
        <v>1</v>
      </c>
      <c r="F139" s="66"/>
      <c r="G139" s="67"/>
    </row>
    <row r="140" spans="1:7" ht="12.75" customHeight="1" hidden="1">
      <c r="A140" s="52">
        <f t="shared" si="13"/>
        <v>36207</v>
      </c>
      <c r="B140" s="64"/>
      <c r="C140" s="54" t="s">
        <v>67</v>
      </c>
      <c r="D140" s="68">
        <v>0.977</v>
      </c>
      <c r="E140" s="56">
        <f t="shared" si="12"/>
        <v>1</v>
      </c>
      <c r="F140" s="66"/>
      <c r="G140" s="67"/>
    </row>
    <row r="141" spans="1:7" ht="12.75" customHeight="1" hidden="1">
      <c r="A141" s="52">
        <f t="shared" si="13"/>
        <v>36237.5</v>
      </c>
      <c r="B141" s="64"/>
      <c r="C141" s="54" t="s">
        <v>67</v>
      </c>
      <c r="D141" s="68">
        <v>0.977</v>
      </c>
      <c r="E141" s="56">
        <f t="shared" si="12"/>
        <v>1</v>
      </c>
      <c r="F141" s="66"/>
      <c r="G141" s="67"/>
    </row>
    <row r="142" spans="1:7" ht="12.75" customHeight="1" hidden="1">
      <c r="A142" s="52">
        <f t="shared" si="13"/>
        <v>36268</v>
      </c>
      <c r="B142" s="64"/>
      <c r="C142" s="54" t="s">
        <v>67</v>
      </c>
      <c r="D142" s="68">
        <v>0.977</v>
      </c>
      <c r="E142" s="56">
        <f t="shared" si="12"/>
        <v>1</v>
      </c>
      <c r="F142" s="66"/>
      <c r="G142" s="67"/>
    </row>
    <row r="143" spans="1:7" ht="12.75" customHeight="1" hidden="1">
      <c r="A143" s="52">
        <f t="shared" si="13"/>
        <v>36298.5</v>
      </c>
      <c r="B143" s="64"/>
      <c r="C143" s="54" t="s">
        <v>67</v>
      </c>
      <c r="D143" s="68">
        <v>0.977</v>
      </c>
      <c r="E143" s="56">
        <f t="shared" si="12"/>
        <v>1</v>
      </c>
      <c r="F143" s="66"/>
      <c r="G143" s="67"/>
    </row>
    <row r="144" spans="1:7" ht="12.75" customHeight="1" hidden="1">
      <c r="A144" s="52">
        <f t="shared" si="13"/>
        <v>36329</v>
      </c>
      <c r="B144" s="64"/>
      <c r="C144" s="54" t="s">
        <v>67</v>
      </c>
      <c r="D144" s="68">
        <v>0.977</v>
      </c>
      <c r="E144" s="56">
        <f t="shared" si="12"/>
        <v>1</v>
      </c>
      <c r="F144" s="66"/>
      <c r="G144" s="67"/>
    </row>
    <row r="145" spans="1:7" ht="12.75" customHeight="1" hidden="1">
      <c r="A145" s="52">
        <f t="shared" si="13"/>
        <v>36359.5</v>
      </c>
      <c r="B145" s="64"/>
      <c r="C145" s="54" t="s">
        <v>67</v>
      </c>
      <c r="D145" s="68">
        <v>0.977</v>
      </c>
      <c r="E145" s="56">
        <f t="shared" si="12"/>
        <v>1</v>
      </c>
      <c r="F145" s="66"/>
      <c r="G145" s="67"/>
    </row>
    <row r="146" spans="1:7" ht="12.75" customHeight="1" hidden="1">
      <c r="A146" s="52">
        <f t="shared" si="13"/>
        <v>36390</v>
      </c>
      <c r="B146" s="64"/>
      <c r="C146" s="54" t="s">
        <v>67</v>
      </c>
      <c r="D146" s="68">
        <v>0.977</v>
      </c>
      <c r="E146" s="56">
        <f t="shared" si="12"/>
        <v>1</v>
      </c>
      <c r="F146" s="66"/>
      <c r="G146" s="67"/>
    </row>
    <row r="147" spans="1:7" ht="12.75" customHeight="1" hidden="1">
      <c r="A147" s="52">
        <f t="shared" si="13"/>
        <v>36420.5</v>
      </c>
      <c r="B147" s="64"/>
      <c r="C147" s="54" t="s">
        <v>67</v>
      </c>
      <c r="D147" s="68">
        <v>0.977</v>
      </c>
      <c r="E147" s="56">
        <f t="shared" si="12"/>
        <v>1</v>
      </c>
      <c r="F147" s="66"/>
      <c r="G147" s="67"/>
    </row>
    <row r="148" spans="1:7" ht="12.75" customHeight="1" hidden="1">
      <c r="A148" s="52">
        <f t="shared" si="13"/>
        <v>36451</v>
      </c>
      <c r="B148" s="64"/>
      <c r="C148" s="54" t="s">
        <v>67</v>
      </c>
      <c r="D148" s="68">
        <v>0.977</v>
      </c>
      <c r="E148" s="56">
        <f t="shared" si="12"/>
        <v>1</v>
      </c>
      <c r="F148" s="66"/>
      <c r="G148" s="67"/>
    </row>
    <row r="149" spans="1:7" ht="12.75" customHeight="1" hidden="1">
      <c r="A149" s="52">
        <f t="shared" si="13"/>
        <v>36481.5</v>
      </c>
      <c r="B149" s="64"/>
      <c r="C149" s="54" t="s">
        <v>67</v>
      </c>
      <c r="D149" s="68">
        <v>0.977</v>
      </c>
      <c r="E149" s="56">
        <f t="shared" si="12"/>
        <v>1</v>
      </c>
      <c r="F149" s="66"/>
      <c r="G149" s="67"/>
    </row>
    <row r="150" spans="1:7" ht="12.75" customHeight="1" hidden="1">
      <c r="A150" s="52">
        <f t="shared" si="13"/>
        <v>36512</v>
      </c>
      <c r="B150" s="64"/>
      <c r="C150" s="54" t="s">
        <v>67</v>
      </c>
      <c r="D150" s="68">
        <v>0.977</v>
      </c>
      <c r="E150" s="56">
        <f t="shared" si="12"/>
        <v>1.0891504605936542</v>
      </c>
      <c r="F150" s="66"/>
      <c r="G150" s="67"/>
    </row>
    <row r="151" spans="1:7" ht="12.75" customHeight="1" hidden="1">
      <c r="A151" s="52">
        <f t="shared" si="13"/>
        <v>36542.5</v>
      </c>
      <c r="B151" s="64"/>
      <c r="C151" s="54" t="s">
        <v>67</v>
      </c>
      <c r="D151" s="68">
        <v>1.0641</v>
      </c>
      <c r="E151" s="56">
        <f t="shared" si="12"/>
        <v>1</v>
      </c>
      <c r="F151" s="66"/>
      <c r="G151" s="67"/>
    </row>
    <row r="152" spans="1:7" ht="12.75" customHeight="1" hidden="1">
      <c r="A152" s="52">
        <f t="shared" si="13"/>
        <v>36573</v>
      </c>
      <c r="B152" s="64"/>
      <c r="C152" s="54" t="s">
        <v>67</v>
      </c>
      <c r="D152" s="68">
        <v>1.0641</v>
      </c>
      <c r="E152" s="56">
        <f t="shared" si="12"/>
        <v>1</v>
      </c>
      <c r="F152" s="66"/>
      <c r="G152" s="67"/>
    </row>
    <row r="153" spans="1:7" ht="12.75" customHeight="1" hidden="1">
      <c r="A153" s="52">
        <f t="shared" si="13"/>
        <v>36603.5</v>
      </c>
      <c r="B153" s="64"/>
      <c r="C153" s="54" t="s">
        <v>67</v>
      </c>
      <c r="D153" s="68">
        <v>1.0641</v>
      </c>
      <c r="E153" s="56">
        <f t="shared" si="12"/>
        <v>1</v>
      </c>
      <c r="F153" s="66"/>
      <c r="G153" s="67"/>
    </row>
    <row r="154" spans="1:7" ht="12.75" customHeight="1" hidden="1">
      <c r="A154" s="52">
        <f t="shared" si="13"/>
        <v>36634</v>
      </c>
      <c r="B154" s="64"/>
      <c r="C154" s="54" t="s">
        <v>67</v>
      </c>
      <c r="D154" s="68">
        <v>1.0641</v>
      </c>
      <c r="E154" s="56">
        <f t="shared" si="12"/>
        <v>1</v>
      </c>
      <c r="F154" s="66"/>
      <c r="G154" s="67"/>
    </row>
    <row r="155" spans="1:7" ht="12.75" customHeight="1" hidden="1">
      <c r="A155" s="52">
        <f t="shared" si="13"/>
        <v>36664.5</v>
      </c>
      <c r="B155" s="64"/>
      <c r="C155" s="54" t="s">
        <v>67</v>
      </c>
      <c r="D155" s="68">
        <v>1.0641</v>
      </c>
      <c r="E155" s="56">
        <f t="shared" si="12"/>
        <v>1</v>
      </c>
      <c r="F155" s="66"/>
      <c r="G155" s="67"/>
    </row>
    <row r="156" spans="1:7" ht="12.75" customHeight="1" hidden="1">
      <c r="A156" s="52">
        <f t="shared" si="13"/>
        <v>36695</v>
      </c>
      <c r="B156" s="64"/>
      <c r="C156" s="54" t="s">
        <v>67</v>
      </c>
      <c r="D156" s="68">
        <v>1.0641</v>
      </c>
      <c r="E156" s="56">
        <f t="shared" si="12"/>
        <v>1</v>
      </c>
      <c r="F156" s="66"/>
      <c r="G156" s="67"/>
    </row>
    <row r="157" spans="1:7" ht="12.75" customHeight="1" hidden="1">
      <c r="A157" s="52">
        <f t="shared" si="13"/>
        <v>36725.5</v>
      </c>
      <c r="B157" s="64"/>
      <c r="C157" s="54" t="s">
        <v>67</v>
      </c>
      <c r="D157" s="68">
        <v>1.0641</v>
      </c>
      <c r="E157" s="56">
        <f t="shared" si="12"/>
        <v>1</v>
      </c>
      <c r="F157" s="66"/>
      <c r="G157" s="67"/>
    </row>
    <row r="158" spans="1:7" ht="12.75" customHeight="1" hidden="1">
      <c r="A158" s="52">
        <f t="shared" si="13"/>
        <v>36756</v>
      </c>
      <c r="B158" s="64"/>
      <c r="C158" s="54" t="s">
        <v>67</v>
      </c>
      <c r="D158" s="68">
        <v>1.0641</v>
      </c>
      <c r="E158" s="56">
        <f t="shared" si="12"/>
        <v>1</v>
      </c>
      <c r="F158" s="66"/>
      <c r="G158" s="67"/>
    </row>
    <row r="159" spans="1:7" ht="12.75" customHeight="1" hidden="1">
      <c r="A159" s="52">
        <f t="shared" si="13"/>
        <v>36786.5</v>
      </c>
      <c r="B159" s="64"/>
      <c r="C159" s="54" t="s">
        <v>67</v>
      </c>
      <c r="D159" s="68">
        <v>1.0641</v>
      </c>
      <c r="E159" s="56">
        <f t="shared" si="12"/>
        <v>1</v>
      </c>
      <c r="F159" s="66"/>
      <c r="G159" s="67"/>
    </row>
    <row r="160" spans="1:7" ht="12.75" customHeight="1" hidden="1">
      <c r="A160" s="52">
        <f t="shared" si="13"/>
        <v>36817</v>
      </c>
      <c r="B160" s="64"/>
      <c r="C160" s="54" t="s">
        <v>67</v>
      </c>
      <c r="D160" s="68">
        <v>1.0641</v>
      </c>
      <c r="E160" s="56">
        <f t="shared" si="12"/>
        <v>1</v>
      </c>
      <c r="F160" s="66"/>
      <c r="G160" s="67"/>
    </row>
    <row r="161" spans="1:7" ht="12.75" customHeight="1" hidden="1">
      <c r="A161" s="52">
        <f t="shared" si="13"/>
        <v>36847.5</v>
      </c>
      <c r="B161" s="64"/>
      <c r="C161" s="54" t="s">
        <v>67</v>
      </c>
      <c r="D161" s="68">
        <v>1.0641</v>
      </c>
      <c r="E161" s="56">
        <f>+E160</f>
        <v>1</v>
      </c>
      <c r="F161" s="66"/>
      <c r="G161" s="67"/>
    </row>
    <row r="162" spans="1:8" ht="12.75" customHeight="1" hidden="1">
      <c r="A162" s="52">
        <f t="shared" si="13"/>
        <v>36878</v>
      </c>
      <c r="B162" s="64"/>
      <c r="C162" s="54" t="s">
        <v>67</v>
      </c>
      <c r="D162" s="55">
        <v>0.060355570000000004</v>
      </c>
      <c r="E162" s="56">
        <f aca="true" t="shared" si="14" ref="E162:E193">+1+D162</f>
        <v>1.06035557</v>
      </c>
      <c r="F162" s="66"/>
      <c r="G162" s="67"/>
      <c r="H162" s="30" t="s">
        <v>70</v>
      </c>
    </row>
    <row r="163" spans="1:7" ht="12.75" customHeight="1" hidden="1">
      <c r="A163" s="52">
        <f t="shared" si="13"/>
        <v>36908.5</v>
      </c>
      <c r="B163" s="64"/>
      <c r="C163" s="54" t="s">
        <v>67</v>
      </c>
      <c r="D163" s="69">
        <v>0.0063</v>
      </c>
      <c r="E163" s="56">
        <f t="shared" si="14"/>
        <v>1.0063</v>
      </c>
      <c r="F163" s="66"/>
      <c r="G163" s="67"/>
    </row>
    <row r="164" spans="1:7" ht="12.75" customHeight="1" hidden="1">
      <c r="A164" s="52">
        <f t="shared" si="13"/>
        <v>36939</v>
      </c>
      <c r="B164" s="64"/>
      <c r="C164" s="54" t="s">
        <v>67</v>
      </c>
      <c r="D164" s="69">
        <v>0.005</v>
      </c>
      <c r="E164" s="56">
        <f t="shared" si="14"/>
        <v>1.005</v>
      </c>
      <c r="F164" s="66"/>
      <c r="G164" s="67"/>
    </row>
    <row r="165" spans="1:7" ht="12.75" customHeight="1" hidden="1">
      <c r="A165" s="52">
        <f t="shared" si="13"/>
        <v>36969.5</v>
      </c>
      <c r="B165" s="64"/>
      <c r="C165" s="54" t="s">
        <v>67</v>
      </c>
      <c r="D165" s="69">
        <v>0.0036000000000000003</v>
      </c>
      <c r="E165" s="56">
        <f t="shared" si="14"/>
        <v>1.0036</v>
      </c>
      <c r="F165" s="66"/>
      <c r="G165" s="67"/>
    </row>
    <row r="166" spans="1:7" ht="12.75" customHeight="1" hidden="1">
      <c r="A166" s="52">
        <f t="shared" si="13"/>
        <v>37000</v>
      </c>
      <c r="B166" s="64"/>
      <c r="C166" s="54" t="s">
        <v>67</v>
      </c>
      <c r="D166" s="69">
        <v>0.005</v>
      </c>
      <c r="E166" s="56">
        <f t="shared" si="14"/>
        <v>1.005</v>
      </c>
      <c r="F166" s="66"/>
      <c r="G166" s="67"/>
    </row>
    <row r="167" spans="1:7" ht="12.75" customHeight="1" hidden="1">
      <c r="A167" s="52">
        <f t="shared" si="13"/>
        <v>37030.5</v>
      </c>
      <c r="B167" s="64"/>
      <c r="C167" s="54" t="s">
        <v>67</v>
      </c>
      <c r="D167" s="69">
        <v>0.0049</v>
      </c>
      <c r="E167" s="56">
        <f t="shared" si="14"/>
        <v>1.0049</v>
      </c>
      <c r="F167" s="66"/>
      <c r="G167" s="67"/>
    </row>
    <row r="168" spans="1:7" ht="12.75" customHeight="1" hidden="1">
      <c r="A168" s="52">
        <f aca="true" t="shared" si="15" ref="A168:A186">+A167+30.5</f>
        <v>37061</v>
      </c>
      <c r="B168" s="64"/>
      <c r="C168" s="54" t="s">
        <v>67</v>
      </c>
      <c r="D168" s="69">
        <v>0.0038</v>
      </c>
      <c r="E168" s="56">
        <f t="shared" si="14"/>
        <v>1.0038</v>
      </c>
      <c r="F168" s="66"/>
      <c r="G168" s="67"/>
    </row>
    <row r="169" spans="1:7" ht="12.75" customHeight="1" hidden="1">
      <c r="A169" s="52">
        <f t="shared" si="15"/>
        <v>37091.5</v>
      </c>
      <c r="B169" s="64"/>
      <c r="C169" s="54" t="s">
        <v>67</v>
      </c>
      <c r="D169" s="69">
        <v>0.0094</v>
      </c>
      <c r="E169" s="56">
        <f t="shared" si="14"/>
        <v>1.0094</v>
      </c>
      <c r="F169" s="66"/>
      <c r="G169" s="67"/>
    </row>
    <row r="170" spans="1:7" ht="12.75" customHeight="1" hidden="1">
      <c r="A170" s="52">
        <f t="shared" si="15"/>
        <v>37122</v>
      </c>
      <c r="B170" s="64"/>
      <c r="C170" s="54" t="s">
        <v>67</v>
      </c>
      <c r="D170" s="69">
        <v>0.0118</v>
      </c>
      <c r="E170" s="56">
        <f t="shared" si="14"/>
        <v>1.0118</v>
      </c>
      <c r="F170" s="66"/>
      <c r="G170" s="67"/>
    </row>
    <row r="171" spans="1:7" ht="12.75" customHeight="1" hidden="1">
      <c r="A171" s="52">
        <f t="shared" si="15"/>
        <v>37152.5</v>
      </c>
      <c r="B171" s="64"/>
      <c r="C171" s="54" t="s">
        <v>67</v>
      </c>
      <c r="D171" s="69">
        <v>0.0038</v>
      </c>
      <c r="E171" s="56">
        <f t="shared" si="14"/>
        <v>1.0038</v>
      </c>
      <c r="F171" s="66"/>
      <c r="G171" s="67"/>
    </row>
    <row r="172" spans="1:7" ht="12.75" customHeight="1" hidden="1">
      <c r="A172" s="52">
        <f t="shared" si="15"/>
        <v>37183</v>
      </c>
      <c r="B172" s="64"/>
      <c r="C172" s="54" t="s">
        <v>67</v>
      </c>
      <c r="D172" s="69">
        <v>0.0037</v>
      </c>
      <c r="E172" s="56">
        <f t="shared" si="14"/>
        <v>1.0037</v>
      </c>
      <c r="F172" s="66"/>
      <c r="G172" s="67"/>
    </row>
    <row r="173" spans="1:7" ht="12.75" customHeight="1" hidden="1">
      <c r="A173" s="52">
        <f t="shared" si="15"/>
        <v>37213.5</v>
      </c>
      <c r="B173" s="64"/>
      <c r="C173" s="54" t="s">
        <v>67</v>
      </c>
      <c r="D173" s="69">
        <v>0.0099</v>
      </c>
      <c r="E173" s="56">
        <f t="shared" si="14"/>
        <v>1.0099</v>
      </c>
      <c r="F173" s="66"/>
      <c r="G173" s="67"/>
    </row>
    <row r="174" spans="1:7" ht="12.75" customHeight="1" hidden="1">
      <c r="A174" s="52">
        <f t="shared" si="15"/>
        <v>37244</v>
      </c>
      <c r="B174" s="64"/>
      <c r="C174" s="54" t="s">
        <v>67</v>
      </c>
      <c r="D174" s="55">
        <v>0.0055000000000000005</v>
      </c>
      <c r="E174" s="56">
        <f t="shared" si="14"/>
        <v>1.0055</v>
      </c>
      <c r="F174" s="66"/>
      <c r="G174" s="67"/>
    </row>
    <row r="175" spans="1:7" ht="12.75" customHeight="1" hidden="1">
      <c r="A175" s="52">
        <f t="shared" si="15"/>
        <v>37274.5</v>
      </c>
      <c r="B175" s="64"/>
      <c r="C175" s="54" t="s">
        <v>67</v>
      </c>
      <c r="D175" s="69">
        <v>0.006200000000000001</v>
      </c>
      <c r="E175" s="56">
        <f t="shared" si="14"/>
        <v>1.0062</v>
      </c>
      <c r="F175" s="66"/>
      <c r="G175" s="67"/>
    </row>
    <row r="176" spans="1:7" ht="12.75" customHeight="1" hidden="1">
      <c r="A176" s="52">
        <f t="shared" si="15"/>
        <v>37305</v>
      </c>
      <c r="B176" s="64"/>
      <c r="C176" s="54" t="s">
        <v>67</v>
      </c>
      <c r="D176" s="69">
        <v>0.0044</v>
      </c>
      <c r="E176" s="56">
        <f t="shared" si="14"/>
        <v>1.0044</v>
      </c>
      <c r="F176" s="66"/>
      <c r="G176" s="67"/>
    </row>
    <row r="177" spans="1:7" ht="12.75" customHeight="1" hidden="1">
      <c r="A177" s="52">
        <f t="shared" si="15"/>
        <v>37335.5</v>
      </c>
      <c r="B177" s="64"/>
      <c r="C177" s="54" t="s">
        <v>67</v>
      </c>
      <c r="D177" s="69">
        <v>0.004</v>
      </c>
      <c r="E177" s="56">
        <f t="shared" si="14"/>
        <v>1.004</v>
      </c>
      <c r="F177" s="66"/>
      <c r="G177" s="67"/>
    </row>
    <row r="178" spans="1:7" ht="12.75" customHeight="1" hidden="1">
      <c r="A178" s="52">
        <f t="shared" si="15"/>
        <v>37366</v>
      </c>
      <c r="B178" s="64"/>
      <c r="C178" s="54" t="s">
        <v>67</v>
      </c>
      <c r="D178" s="69">
        <v>0.0078000000000000005</v>
      </c>
      <c r="E178" s="56">
        <f t="shared" si="14"/>
        <v>1.0078</v>
      </c>
      <c r="F178" s="66"/>
      <c r="G178" s="67"/>
    </row>
    <row r="179" spans="1:7" ht="12.75" customHeight="1" hidden="1">
      <c r="A179" s="52">
        <f t="shared" si="15"/>
        <v>37396.5</v>
      </c>
      <c r="B179" s="64"/>
      <c r="C179" s="54" t="s">
        <v>67</v>
      </c>
      <c r="D179" s="69">
        <v>0.004200000000000001</v>
      </c>
      <c r="E179" s="56">
        <f t="shared" si="14"/>
        <v>1.0042</v>
      </c>
      <c r="F179" s="66"/>
      <c r="G179" s="67"/>
    </row>
    <row r="180" spans="1:7" ht="12.75" customHeight="1" hidden="1">
      <c r="A180" s="52">
        <f t="shared" si="15"/>
        <v>37427</v>
      </c>
      <c r="B180" s="64"/>
      <c r="C180" s="54" t="s">
        <v>67</v>
      </c>
      <c r="D180" s="69">
        <v>0.0033</v>
      </c>
      <c r="E180" s="56">
        <f t="shared" si="14"/>
        <v>1.0033</v>
      </c>
      <c r="F180" s="66"/>
      <c r="G180" s="67"/>
    </row>
    <row r="181" spans="1:7" ht="12.75" customHeight="1" hidden="1">
      <c r="A181" s="52">
        <f t="shared" si="15"/>
        <v>37457.5</v>
      </c>
      <c r="B181" s="64"/>
      <c r="C181" s="54" t="s">
        <v>67</v>
      </c>
      <c r="D181" s="69">
        <v>0.0077</v>
      </c>
      <c r="E181" s="56">
        <f t="shared" si="14"/>
        <v>1.0077</v>
      </c>
      <c r="F181" s="66"/>
      <c r="G181" s="67"/>
    </row>
    <row r="182" spans="1:7" ht="12.75" customHeight="1" hidden="1">
      <c r="A182" s="52">
        <f t="shared" si="15"/>
        <v>37488</v>
      </c>
      <c r="B182" s="64"/>
      <c r="C182" s="54" t="s">
        <v>67</v>
      </c>
      <c r="D182" s="69">
        <v>0.01</v>
      </c>
      <c r="E182" s="56">
        <f t="shared" si="14"/>
        <v>1.01</v>
      </c>
      <c r="F182" s="66"/>
      <c r="G182" s="67"/>
    </row>
    <row r="183" spans="1:7" ht="12.75" customHeight="1" hidden="1">
      <c r="A183" s="52">
        <f t="shared" si="15"/>
        <v>37518.5</v>
      </c>
      <c r="B183" s="64"/>
      <c r="C183" s="54" t="s">
        <v>67</v>
      </c>
      <c r="D183" s="69">
        <v>0.006200000000000001</v>
      </c>
      <c r="E183" s="56">
        <f t="shared" si="14"/>
        <v>1.0062</v>
      </c>
      <c r="F183" s="66"/>
      <c r="G183" s="67"/>
    </row>
    <row r="184" spans="1:7" ht="12.75" customHeight="1" hidden="1">
      <c r="A184" s="52">
        <f t="shared" si="15"/>
        <v>37549</v>
      </c>
      <c r="B184" s="64"/>
      <c r="C184" s="54" t="s">
        <v>67</v>
      </c>
      <c r="D184" s="69">
        <v>0.009000000000000001</v>
      </c>
      <c r="E184" s="56">
        <f t="shared" si="14"/>
        <v>1.009</v>
      </c>
      <c r="F184" s="66"/>
      <c r="G184" s="67"/>
    </row>
    <row r="185" spans="1:7" ht="12.75" customHeight="1" hidden="1">
      <c r="A185" s="52">
        <f t="shared" si="15"/>
        <v>37579.5</v>
      </c>
      <c r="B185" s="64"/>
      <c r="C185" s="54" t="s">
        <v>67</v>
      </c>
      <c r="D185" s="69">
        <v>0.020800000000000003</v>
      </c>
      <c r="E185" s="56">
        <f t="shared" si="14"/>
        <v>1.0208</v>
      </c>
      <c r="F185" s="66"/>
      <c r="G185" s="67"/>
    </row>
    <row r="186" spans="1:7" ht="12.75" customHeight="1" hidden="1">
      <c r="A186" s="52">
        <f t="shared" si="15"/>
        <v>37610</v>
      </c>
      <c r="B186" s="64"/>
      <c r="C186" s="54" t="s">
        <v>67</v>
      </c>
      <c r="D186" s="55">
        <v>0.030500000000000003</v>
      </c>
      <c r="E186" s="56">
        <f t="shared" si="14"/>
        <v>1.0305</v>
      </c>
      <c r="F186" s="66"/>
      <c r="G186" s="67"/>
    </row>
    <row r="187" spans="1:7" ht="12.75" customHeight="1" hidden="1">
      <c r="A187" s="52">
        <v>37636</v>
      </c>
      <c r="B187" s="64"/>
      <c r="C187" s="54" t="s">
        <v>67</v>
      </c>
      <c r="D187" s="69">
        <v>0.0198</v>
      </c>
      <c r="E187" s="56">
        <f t="shared" si="14"/>
        <v>1.0198</v>
      </c>
      <c r="F187" s="66"/>
      <c r="G187" s="67"/>
    </row>
    <row r="188" spans="1:7" ht="12.75" customHeight="1" hidden="1">
      <c r="A188" s="52">
        <f aca="true" t="shared" si="16" ref="A188:A219">+A187+30.5</f>
        <v>37666.5</v>
      </c>
      <c r="B188" s="64"/>
      <c r="C188" s="54" t="s">
        <v>67</v>
      </c>
      <c r="D188" s="69">
        <v>0.0219</v>
      </c>
      <c r="E188" s="56">
        <f t="shared" si="14"/>
        <v>1.0219</v>
      </c>
      <c r="F188" s="66"/>
      <c r="G188" s="67"/>
    </row>
    <row r="189" spans="1:7" ht="12.75" customHeight="1" hidden="1">
      <c r="A189" s="52">
        <f t="shared" si="16"/>
        <v>37697</v>
      </c>
      <c r="B189" s="64"/>
      <c r="C189" s="54" t="s">
        <v>67</v>
      </c>
      <c r="D189" s="69">
        <v>0.0114</v>
      </c>
      <c r="E189" s="56">
        <f t="shared" si="14"/>
        <v>1.0114</v>
      </c>
      <c r="F189" s="66"/>
      <c r="G189" s="67"/>
    </row>
    <row r="190" spans="1:7" ht="12.75" customHeight="1" hidden="1">
      <c r="A190" s="52">
        <f t="shared" si="16"/>
        <v>37727.5</v>
      </c>
      <c r="B190" s="64"/>
      <c r="C190" s="54" t="s">
        <v>67</v>
      </c>
      <c r="D190" s="69">
        <v>0.0114</v>
      </c>
      <c r="E190" s="56">
        <f t="shared" si="14"/>
        <v>1.0114</v>
      </c>
      <c r="F190" s="66"/>
      <c r="G190" s="67"/>
    </row>
    <row r="191" spans="1:7" ht="12.75" customHeight="1" hidden="1">
      <c r="A191" s="52">
        <f t="shared" si="16"/>
        <v>37758</v>
      </c>
      <c r="B191" s="64"/>
      <c r="C191" s="54" t="s">
        <v>67</v>
      </c>
      <c r="D191" s="69">
        <v>0.0085</v>
      </c>
      <c r="E191" s="56">
        <f t="shared" si="14"/>
        <v>1.0085</v>
      </c>
      <c r="F191" s="66"/>
      <c r="G191" s="67"/>
    </row>
    <row r="192" spans="1:7" ht="12.75" customHeight="1" hidden="1">
      <c r="A192" s="52">
        <f t="shared" si="16"/>
        <v>37788.5</v>
      </c>
      <c r="B192" s="64"/>
      <c r="C192" s="54" t="s">
        <v>67</v>
      </c>
      <c r="D192" s="69">
        <v>0.0022</v>
      </c>
      <c r="E192" s="56">
        <f t="shared" si="14"/>
        <v>1.0022</v>
      </c>
      <c r="F192" s="66"/>
      <c r="G192" s="67"/>
    </row>
    <row r="193" spans="1:7" ht="12.75" customHeight="1" hidden="1">
      <c r="A193" s="52">
        <f t="shared" si="16"/>
        <v>37819</v>
      </c>
      <c r="B193" s="64"/>
      <c r="C193" s="54" t="s">
        <v>67</v>
      </c>
      <c r="D193" s="69">
        <v>-0.0018000000000000002</v>
      </c>
      <c r="E193" s="56">
        <f t="shared" si="14"/>
        <v>0.9982</v>
      </c>
      <c r="F193" s="66"/>
      <c r="G193" s="67"/>
    </row>
    <row r="194" spans="1:7" ht="12.75" customHeight="1" hidden="1">
      <c r="A194" s="52">
        <f t="shared" si="16"/>
        <v>37849.5</v>
      </c>
      <c r="B194" s="64"/>
      <c r="C194" s="54" t="s">
        <v>67</v>
      </c>
      <c r="D194" s="69">
        <v>0.0027</v>
      </c>
      <c r="E194" s="56">
        <f aca="true" t="shared" si="17" ref="E194:E225">+1+D194</f>
        <v>1.0027</v>
      </c>
      <c r="F194" s="66"/>
      <c r="G194" s="67"/>
    </row>
    <row r="195" spans="1:7" ht="12.75" customHeight="1" hidden="1">
      <c r="A195" s="52">
        <f t="shared" si="16"/>
        <v>37880</v>
      </c>
      <c r="B195" s="64"/>
      <c r="C195" s="54" t="s">
        <v>67</v>
      </c>
      <c r="D195" s="69">
        <v>0.0057</v>
      </c>
      <c r="E195" s="56">
        <f t="shared" si="17"/>
        <v>1.0057</v>
      </c>
      <c r="F195" s="66"/>
      <c r="G195" s="67"/>
    </row>
    <row r="196" spans="1:7" ht="12.75" customHeight="1" hidden="1">
      <c r="A196" s="52">
        <f t="shared" si="16"/>
        <v>37910.5</v>
      </c>
      <c r="B196" s="64"/>
      <c r="C196" s="54" t="s">
        <v>67</v>
      </c>
      <c r="D196" s="69">
        <v>0.0066</v>
      </c>
      <c r="E196" s="56">
        <f t="shared" si="17"/>
        <v>1.0066</v>
      </c>
      <c r="F196" s="66"/>
      <c r="G196" s="67"/>
    </row>
    <row r="197" spans="1:7" ht="12.75" customHeight="1" hidden="1">
      <c r="A197" s="52">
        <f t="shared" si="16"/>
        <v>37941</v>
      </c>
      <c r="B197" s="64"/>
      <c r="C197" s="54" t="s">
        <v>67</v>
      </c>
      <c r="D197" s="69">
        <v>0.0017000000000000001</v>
      </c>
      <c r="E197" s="56">
        <f t="shared" si="17"/>
        <v>1.0017</v>
      </c>
      <c r="F197" s="66"/>
      <c r="G197" s="67"/>
    </row>
    <row r="198" spans="1:7" ht="12.75" customHeight="1" hidden="1">
      <c r="A198" s="52">
        <f t="shared" si="16"/>
        <v>37971.5</v>
      </c>
      <c r="B198" s="64"/>
      <c r="C198" s="54" t="s">
        <v>67</v>
      </c>
      <c r="D198" s="55">
        <v>0.0046</v>
      </c>
      <c r="E198" s="56">
        <f t="shared" si="17"/>
        <v>1.0046</v>
      </c>
      <c r="F198" s="66"/>
      <c r="G198" s="67"/>
    </row>
    <row r="199" spans="1:7" ht="12.75" customHeight="1" hidden="1">
      <c r="A199" s="52">
        <f t="shared" si="16"/>
        <v>38002</v>
      </c>
      <c r="B199" s="64"/>
      <c r="C199" s="54" t="s">
        <v>67</v>
      </c>
      <c r="D199" s="69">
        <v>0.0068000000000000005</v>
      </c>
      <c r="E199" s="56">
        <f t="shared" si="17"/>
        <v>1.0068</v>
      </c>
      <c r="F199" s="66"/>
      <c r="G199" s="67"/>
    </row>
    <row r="200" spans="1:7" ht="12.75" customHeight="1" hidden="1">
      <c r="A200" s="52">
        <f t="shared" si="16"/>
        <v>38032.5</v>
      </c>
      <c r="B200" s="64"/>
      <c r="C200" s="54" t="s">
        <v>67</v>
      </c>
      <c r="D200" s="69">
        <v>0.009000000000000001</v>
      </c>
      <c r="E200" s="56">
        <f t="shared" si="17"/>
        <v>1.009</v>
      </c>
      <c r="F200" s="66"/>
      <c r="G200" s="67"/>
    </row>
    <row r="201" spans="1:7" ht="12.75" customHeight="1" hidden="1">
      <c r="A201" s="52">
        <f t="shared" si="16"/>
        <v>38063</v>
      </c>
      <c r="B201" s="64"/>
      <c r="C201" s="54" t="s">
        <v>67</v>
      </c>
      <c r="D201" s="69">
        <v>0.004</v>
      </c>
      <c r="E201" s="56">
        <f t="shared" si="17"/>
        <v>1.004</v>
      </c>
      <c r="F201" s="66"/>
      <c r="G201" s="67"/>
    </row>
    <row r="202" spans="1:7" ht="12.75" customHeight="1" hidden="1">
      <c r="A202" s="52">
        <f t="shared" si="16"/>
        <v>38093.5</v>
      </c>
      <c r="B202" s="64"/>
      <c r="C202" s="54" t="s">
        <v>67</v>
      </c>
      <c r="D202" s="69">
        <v>0.0021000000000000003</v>
      </c>
      <c r="E202" s="56">
        <f t="shared" si="17"/>
        <v>1.0021</v>
      </c>
      <c r="F202" s="66"/>
      <c r="G202" s="67"/>
    </row>
    <row r="203" spans="1:7" ht="12.75" customHeight="1" hidden="1">
      <c r="A203" s="52">
        <f t="shared" si="16"/>
        <v>38124</v>
      </c>
      <c r="B203" s="64"/>
      <c r="C203" s="54" t="s">
        <v>67</v>
      </c>
      <c r="D203" s="69">
        <v>0.0054</v>
      </c>
      <c r="E203" s="56">
        <f t="shared" si="17"/>
        <v>1.0054</v>
      </c>
      <c r="F203" s="66"/>
      <c r="G203" s="67"/>
    </row>
    <row r="204" spans="1:7" ht="12.75" customHeight="1" hidden="1">
      <c r="A204" s="52">
        <f t="shared" si="16"/>
        <v>38154.5</v>
      </c>
      <c r="B204" s="64"/>
      <c r="C204" s="54" t="s">
        <v>67</v>
      </c>
      <c r="D204" s="69">
        <v>0.0056</v>
      </c>
      <c r="E204" s="56">
        <f t="shared" si="17"/>
        <v>1.0056</v>
      </c>
      <c r="F204" s="66"/>
      <c r="G204" s="67"/>
    </row>
    <row r="205" spans="1:7" ht="12.75" customHeight="1" hidden="1">
      <c r="A205" s="52">
        <f t="shared" si="16"/>
        <v>38185</v>
      </c>
      <c r="B205" s="64"/>
      <c r="C205" s="54" t="s">
        <v>67</v>
      </c>
      <c r="D205" s="69">
        <v>0.009300000000000001</v>
      </c>
      <c r="E205" s="56">
        <f t="shared" si="17"/>
        <v>1.0093</v>
      </c>
      <c r="F205" s="66"/>
      <c r="G205" s="67"/>
    </row>
    <row r="206" spans="1:7" ht="12.75" customHeight="1" hidden="1">
      <c r="A206" s="52">
        <f t="shared" si="16"/>
        <v>38215.5</v>
      </c>
      <c r="B206" s="64"/>
      <c r="C206" s="54" t="s">
        <v>67</v>
      </c>
      <c r="D206" s="69">
        <v>0.0079</v>
      </c>
      <c r="E206" s="56">
        <f t="shared" si="17"/>
        <v>1.0079</v>
      </c>
      <c r="F206" s="66"/>
      <c r="G206" s="67"/>
    </row>
    <row r="207" spans="1:7" ht="12.75" customHeight="1" hidden="1">
      <c r="A207" s="52">
        <f t="shared" si="16"/>
        <v>38246</v>
      </c>
      <c r="B207" s="64"/>
      <c r="C207" s="54" t="s">
        <v>67</v>
      </c>
      <c r="D207" s="69">
        <v>0.0049</v>
      </c>
      <c r="E207" s="56">
        <f t="shared" si="17"/>
        <v>1.0049</v>
      </c>
      <c r="F207" s="66"/>
      <c r="G207" s="67"/>
    </row>
    <row r="208" spans="1:7" ht="12.75" customHeight="1" hidden="1">
      <c r="A208" s="52">
        <f t="shared" si="16"/>
        <v>38276.5</v>
      </c>
      <c r="B208" s="64"/>
      <c r="C208" s="54" t="s">
        <v>67</v>
      </c>
      <c r="D208" s="69">
        <v>0.0032</v>
      </c>
      <c r="E208" s="56">
        <f t="shared" si="17"/>
        <v>1.0032</v>
      </c>
      <c r="F208" s="66"/>
      <c r="G208" s="67"/>
    </row>
    <row r="209" spans="1:7" ht="12.75" customHeight="1" hidden="1">
      <c r="A209" s="52">
        <f t="shared" si="16"/>
        <v>38307</v>
      </c>
      <c r="B209" s="64"/>
      <c r="C209" s="54" t="s">
        <v>67</v>
      </c>
      <c r="D209" s="69">
        <v>0.0063</v>
      </c>
      <c r="E209" s="56">
        <f t="shared" si="17"/>
        <v>1.0063</v>
      </c>
      <c r="F209" s="66"/>
      <c r="G209" s="67"/>
    </row>
    <row r="210" spans="1:7" ht="12.75" customHeight="1" hidden="1">
      <c r="A210" s="52">
        <f t="shared" si="16"/>
        <v>38337.5</v>
      </c>
      <c r="B210" s="64"/>
      <c r="C210" s="54" t="s">
        <v>67</v>
      </c>
      <c r="D210" s="55">
        <v>0.008400000000000001</v>
      </c>
      <c r="E210" s="56">
        <f t="shared" si="17"/>
        <v>1.0084</v>
      </c>
      <c r="F210" s="66"/>
      <c r="G210" s="67"/>
    </row>
    <row r="211" spans="1:7" ht="12.75" customHeight="1" hidden="1">
      <c r="A211" s="52">
        <f t="shared" si="16"/>
        <v>38368</v>
      </c>
      <c r="B211" s="64"/>
      <c r="C211" s="54" t="s">
        <v>67</v>
      </c>
      <c r="D211" s="69">
        <v>0.0068000000000000005</v>
      </c>
      <c r="E211" s="56">
        <f t="shared" si="17"/>
        <v>1.0068</v>
      </c>
      <c r="F211" s="66"/>
      <c r="G211" s="67"/>
    </row>
    <row r="212" spans="1:7" ht="12.75" customHeight="1" hidden="1">
      <c r="A212" s="52">
        <f t="shared" si="16"/>
        <v>38398.5</v>
      </c>
      <c r="B212" s="64"/>
      <c r="C212" s="54" t="s">
        <v>67</v>
      </c>
      <c r="D212" s="69">
        <v>0.0074</v>
      </c>
      <c r="E212" s="56">
        <f t="shared" si="17"/>
        <v>1.0074</v>
      </c>
      <c r="F212" s="66"/>
      <c r="G212" s="67"/>
    </row>
    <row r="213" spans="1:7" ht="12.75" customHeight="1" hidden="1">
      <c r="A213" s="52">
        <f t="shared" si="16"/>
        <v>38429</v>
      </c>
      <c r="B213" s="64"/>
      <c r="C213" s="54" t="s">
        <v>67</v>
      </c>
      <c r="D213" s="69">
        <v>0.0035</v>
      </c>
      <c r="E213" s="56">
        <f t="shared" si="17"/>
        <v>1.0035</v>
      </c>
      <c r="F213" s="66"/>
      <c r="G213" s="67"/>
    </row>
    <row r="214" spans="1:7" ht="12.75" customHeight="1" hidden="1">
      <c r="A214" s="52">
        <f t="shared" si="16"/>
        <v>38459.5</v>
      </c>
      <c r="B214" s="64"/>
      <c r="C214" s="54" t="s">
        <v>67</v>
      </c>
      <c r="D214" s="69">
        <v>0.0074</v>
      </c>
      <c r="E214" s="56">
        <f t="shared" si="17"/>
        <v>1.0074</v>
      </c>
      <c r="F214" s="66"/>
      <c r="G214" s="67"/>
    </row>
    <row r="215" spans="1:7" ht="12.75" customHeight="1" hidden="1">
      <c r="A215" s="52">
        <f t="shared" si="16"/>
        <v>38490</v>
      </c>
      <c r="B215" s="64"/>
      <c r="C215" s="54" t="s">
        <v>67</v>
      </c>
      <c r="D215" s="69">
        <v>0.0083</v>
      </c>
      <c r="E215" s="56">
        <f t="shared" si="17"/>
        <v>1.0083</v>
      </c>
      <c r="F215" s="66"/>
      <c r="G215" s="67"/>
    </row>
    <row r="216" spans="1:7" ht="12.75" customHeight="1" hidden="1">
      <c r="A216" s="52">
        <f t="shared" si="16"/>
        <v>38520.5</v>
      </c>
      <c r="B216" s="64"/>
      <c r="C216" s="54" t="s">
        <v>67</v>
      </c>
      <c r="D216" s="69">
        <v>0.0012000000000000001</v>
      </c>
      <c r="E216" s="56">
        <f t="shared" si="17"/>
        <v>1.0012</v>
      </c>
      <c r="F216" s="66"/>
      <c r="G216" s="67"/>
    </row>
    <row r="217" spans="1:7" ht="12.75" customHeight="1" hidden="1">
      <c r="A217" s="52">
        <f t="shared" si="16"/>
        <v>38551</v>
      </c>
      <c r="B217" s="64"/>
      <c r="C217" s="54" t="s">
        <v>67</v>
      </c>
      <c r="D217" s="69">
        <v>0.0011</v>
      </c>
      <c r="E217" s="56">
        <f t="shared" si="17"/>
        <v>1.0011</v>
      </c>
      <c r="F217" s="66"/>
      <c r="G217" s="67"/>
    </row>
    <row r="218" spans="1:7" ht="12.75" customHeight="1" hidden="1">
      <c r="A218" s="52">
        <f t="shared" si="16"/>
        <v>38581.5</v>
      </c>
      <c r="B218" s="64"/>
      <c r="C218" s="54" t="s">
        <v>67</v>
      </c>
      <c r="D218" s="69">
        <v>0.0028</v>
      </c>
      <c r="E218" s="56">
        <f t="shared" si="17"/>
        <v>1.0028</v>
      </c>
      <c r="F218" s="66"/>
      <c r="G218" s="67"/>
    </row>
    <row r="219" spans="1:7" ht="12.75" customHeight="1" hidden="1">
      <c r="A219" s="52">
        <f t="shared" si="16"/>
        <v>38612</v>
      </c>
      <c r="B219" s="64"/>
      <c r="C219" s="54" t="s">
        <v>67</v>
      </c>
      <c r="D219" s="69">
        <v>0.0016</v>
      </c>
      <c r="E219" s="56">
        <f t="shared" si="17"/>
        <v>1.0016</v>
      </c>
      <c r="F219" s="66"/>
      <c r="G219" s="67"/>
    </row>
    <row r="220" spans="1:7" ht="12.75" customHeight="1" hidden="1">
      <c r="A220" s="52">
        <f aca="true" t="shared" si="18" ref="A220:A246">+A219+30.5</f>
        <v>38642.5</v>
      </c>
      <c r="B220" s="64"/>
      <c r="C220" s="54" t="s">
        <v>67</v>
      </c>
      <c r="D220" s="69">
        <v>0.0056</v>
      </c>
      <c r="E220" s="56">
        <f t="shared" si="17"/>
        <v>1.0056</v>
      </c>
      <c r="F220" s="66"/>
      <c r="G220" s="67"/>
    </row>
    <row r="221" spans="1:7" ht="12.75" customHeight="1" hidden="1">
      <c r="A221" s="52">
        <f t="shared" si="18"/>
        <v>38673</v>
      </c>
      <c r="B221" s="64"/>
      <c r="C221" s="54" t="s">
        <v>67</v>
      </c>
      <c r="D221" s="69">
        <v>0.0078000000000000005</v>
      </c>
      <c r="E221" s="56">
        <f t="shared" si="17"/>
        <v>1.0078</v>
      </c>
      <c r="F221" s="66"/>
      <c r="G221" s="67"/>
    </row>
    <row r="222" spans="1:7" ht="12.75" customHeight="1" hidden="1">
      <c r="A222" s="52">
        <f t="shared" si="18"/>
        <v>38703.5</v>
      </c>
      <c r="B222" s="64"/>
      <c r="C222" s="54" t="s">
        <v>67</v>
      </c>
      <c r="D222" s="55">
        <v>0.0038</v>
      </c>
      <c r="E222" s="56">
        <f t="shared" si="17"/>
        <v>1.0038</v>
      </c>
      <c r="F222" s="66"/>
      <c r="G222" s="67"/>
    </row>
    <row r="223" spans="1:7" ht="12.75" customHeight="1" hidden="1">
      <c r="A223" s="52">
        <f t="shared" si="18"/>
        <v>38734</v>
      </c>
      <c r="B223" s="64"/>
      <c r="C223" s="54" t="s">
        <v>67</v>
      </c>
      <c r="D223" s="69">
        <v>0.0051</v>
      </c>
      <c r="E223" s="56">
        <f t="shared" si="17"/>
        <v>1.0051</v>
      </c>
      <c r="F223" s="66"/>
      <c r="G223" s="67"/>
    </row>
    <row r="224" spans="1:7" ht="12.75" customHeight="1" hidden="1">
      <c r="A224" s="52">
        <f t="shared" si="18"/>
        <v>38764.5</v>
      </c>
      <c r="B224" s="64"/>
      <c r="C224" s="54" t="s">
        <v>67</v>
      </c>
      <c r="D224" s="69">
        <v>0.005200000000000001</v>
      </c>
      <c r="E224" s="56">
        <f t="shared" si="17"/>
        <v>1.0052</v>
      </c>
      <c r="F224" s="66"/>
      <c r="G224" s="67"/>
    </row>
    <row r="225" spans="1:7" ht="12.75" customHeight="1" hidden="1">
      <c r="A225" s="52">
        <f t="shared" si="18"/>
        <v>38795</v>
      </c>
      <c r="B225" s="64"/>
      <c r="C225" s="54" t="s">
        <v>67</v>
      </c>
      <c r="D225" s="69">
        <v>0.0037</v>
      </c>
      <c r="E225" s="56">
        <f t="shared" si="17"/>
        <v>1.0037</v>
      </c>
      <c r="F225" s="66"/>
      <c r="G225" s="67"/>
    </row>
    <row r="226" spans="1:7" ht="12.75" customHeight="1" hidden="1">
      <c r="A226" s="52">
        <f t="shared" si="18"/>
        <v>38825.5</v>
      </c>
      <c r="B226" s="64"/>
      <c r="C226" s="54" t="s">
        <v>67</v>
      </c>
      <c r="D226" s="69">
        <v>0.0017000000000000001</v>
      </c>
      <c r="E226" s="56">
        <f aca="true" t="shared" si="19" ref="E226:E246">+1+D226</f>
        <v>1.0017</v>
      </c>
      <c r="F226" s="66"/>
      <c r="G226" s="67"/>
    </row>
    <row r="227" spans="1:7" ht="12.75" customHeight="1" hidden="1">
      <c r="A227" s="52">
        <f t="shared" si="18"/>
        <v>38856</v>
      </c>
      <c r="B227" s="64"/>
      <c r="C227" s="54" t="s">
        <v>67</v>
      </c>
      <c r="D227" s="69">
        <v>0.0027</v>
      </c>
      <c r="E227" s="56">
        <f t="shared" si="19"/>
        <v>1.0027</v>
      </c>
      <c r="F227" s="66"/>
      <c r="G227" s="67"/>
    </row>
    <row r="228" spans="1:7" ht="12.75" customHeight="1" hidden="1">
      <c r="A228" s="52">
        <f t="shared" si="18"/>
        <v>38886.5</v>
      </c>
      <c r="B228" s="64"/>
      <c r="C228" s="54" t="s">
        <v>67</v>
      </c>
      <c r="D228" s="69">
        <v>-0.0015</v>
      </c>
      <c r="E228" s="56">
        <f t="shared" si="19"/>
        <v>0.9985</v>
      </c>
      <c r="F228" s="66"/>
      <c r="G228" s="67"/>
    </row>
    <row r="229" spans="1:7" ht="12.75" customHeight="1" hidden="1">
      <c r="A229" s="52">
        <f t="shared" si="18"/>
        <v>38917</v>
      </c>
      <c r="B229" s="64"/>
      <c r="C229" s="54" t="s">
        <v>67</v>
      </c>
      <c r="D229" s="69">
        <v>-0.0002</v>
      </c>
      <c r="E229" s="56">
        <f t="shared" si="19"/>
        <v>0.9998</v>
      </c>
      <c r="F229" s="66"/>
      <c r="G229" s="67"/>
    </row>
    <row r="230" spans="1:7" ht="12.75" customHeight="1" hidden="1">
      <c r="A230" s="52">
        <f t="shared" si="18"/>
        <v>38947.5</v>
      </c>
      <c r="B230" s="64"/>
      <c r="C230" s="54" t="s">
        <v>67</v>
      </c>
      <c r="D230" s="69">
        <v>0.0019</v>
      </c>
      <c r="E230" s="56">
        <f t="shared" si="19"/>
        <v>1.0019</v>
      </c>
      <c r="F230" s="66"/>
      <c r="G230" s="67"/>
    </row>
    <row r="231" spans="1:7" ht="12.75" customHeight="1" hidden="1">
      <c r="A231" s="52">
        <f t="shared" si="18"/>
        <v>38978</v>
      </c>
      <c r="B231" s="64"/>
      <c r="C231" s="54" t="s">
        <v>67</v>
      </c>
      <c r="D231" s="69">
        <v>0.0005</v>
      </c>
      <c r="E231" s="56">
        <f t="shared" si="19"/>
        <v>1.0005</v>
      </c>
      <c r="F231" s="66"/>
      <c r="G231" s="67"/>
    </row>
    <row r="232" spans="1:7" ht="12.75" customHeight="1" hidden="1">
      <c r="A232" s="52">
        <f t="shared" si="18"/>
        <v>39008.5</v>
      </c>
      <c r="B232" s="64"/>
      <c r="C232" s="54" t="s">
        <v>67</v>
      </c>
      <c r="D232" s="69">
        <v>0.0029000000000000002</v>
      </c>
      <c r="E232" s="56">
        <f t="shared" si="19"/>
        <v>1.0029</v>
      </c>
      <c r="F232" s="66"/>
      <c r="G232" s="67"/>
    </row>
    <row r="233" spans="1:7" ht="12.75" customHeight="1" hidden="1">
      <c r="A233" s="52">
        <f t="shared" si="18"/>
        <v>39039</v>
      </c>
      <c r="B233" s="64"/>
      <c r="C233" s="54" t="s">
        <v>67</v>
      </c>
      <c r="D233" s="69">
        <v>0.0037</v>
      </c>
      <c r="E233" s="56">
        <f t="shared" si="19"/>
        <v>1.0037</v>
      </c>
      <c r="F233" s="66"/>
      <c r="G233" s="67"/>
    </row>
    <row r="234" spans="1:7" ht="12.75" customHeight="1" hidden="1">
      <c r="A234" s="52">
        <f t="shared" si="18"/>
        <v>39069.5</v>
      </c>
      <c r="B234" s="64"/>
      <c r="C234" s="54" t="s">
        <v>67</v>
      </c>
      <c r="D234" s="55">
        <v>0.0035</v>
      </c>
      <c r="E234" s="56">
        <f t="shared" si="19"/>
        <v>1.0035</v>
      </c>
      <c r="F234" s="66"/>
      <c r="G234" s="67"/>
    </row>
    <row r="235" spans="1:7" ht="12.75" customHeight="1" hidden="1">
      <c r="A235" s="52">
        <f t="shared" si="18"/>
        <v>39100</v>
      </c>
      <c r="B235" s="64"/>
      <c r="C235" s="54" t="s">
        <v>67</v>
      </c>
      <c r="D235" s="69">
        <v>0.005200000000000001</v>
      </c>
      <c r="E235" s="56">
        <f t="shared" si="19"/>
        <v>1.0052</v>
      </c>
      <c r="F235" s="66"/>
      <c r="G235" s="67"/>
    </row>
    <row r="236" spans="1:7" ht="12.75" customHeight="1" hidden="1">
      <c r="A236" s="52">
        <f t="shared" si="18"/>
        <v>39130.5</v>
      </c>
      <c r="B236" s="64"/>
      <c r="C236" s="54" t="s">
        <v>67</v>
      </c>
      <c r="D236" s="69">
        <v>0.0046</v>
      </c>
      <c r="E236" s="56">
        <f t="shared" si="19"/>
        <v>1.0046</v>
      </c>
      <c r="F236" s="66"/>
      <c r="G236" s="67"/>
    </row>
    <row r="237" spans="1:7" ht="12.75" customHeight="1" hidden="1">
      <c r="A237" s="52">
        <f t="shared" si="18"/>
        <v>39161</v>
      </c>
      <c r="B237" s="64"/>
      <c r="C237" s="54" t="s">
        <v>67</v>
      </c>
      <c r="D237" s="69">
        <v>0.0041</v>
      </c>
      <c r="E237" s="56">
        <f t="shared" si="19"/>
        <v>1.0041</v>
      </c>
      <c r="F237" s="66"/>
      <c r="G237" s="67"/>
    </row>
    <row r="238" spans="1:7" ht="12.75" customHeight="1" hidden="1">
      <c r="A238" s="52">
        <f t="shared" si="18"/>
        <v>39191.5</v>
      </c>
      <c r="B238" s="64"/>
      <c r="C238" s="54" t="s">
        <v>67</v>
      </c>
      <c r="D238" s="69">
        <v>0.0022</v>
      </c>
      <c r="E238" s="56">
        <f t="shared" si="19"/>
        <v>1.0022</v>
      </c>
      <c r="F238" s="66"/>
      <c r="G238" s="67"/>
    </row>
    <row r="239" spans="1:7" ht="12.75" customHeight="1" hidden="1">
      <c r="A239" s="52">
        <f t="shared" si="18"/>
        <v>39222</v>
      </c>
      <c r="B239" s="64"/>
      <c r="C239" s="54" t="s">
        <v>67</v>
      </c>
      <c r="D239" s="69">
        <v>0.0026000000000000003</v>
      </c>
      <c r="E239" s="56">
        <f t="shared" si="19"/>
        <v>1.0026</v>
      </c>
      <c r="F239" s="66"/>
      <c r="G239" s="67"/>
    </row>
    <row r="240" spans="1:7" ht="12.75" customHeight="1" hidden="1">
      <c r="A240" s="52">
        <f t="shared" si="18"/>
        <v>39252.5</v>
      </c>
      <c r="B240" s="64"/>
      <c r="C240" s="54" t="s">
        <v>67</v>
      </c>
      <c r="D240" s="69">
        <v>0.0029000000000000002</v>
      </c>
      <c r="E240" s="56">
        <f t="shared" si="19"/>
        <v>1.0029</v>
      </c>
      <c r="F240" s="66"/>
      <c r="G240" s="67"/>
    </row>
    <row r="241" spans="1:7" ht="12.75" customHeight="1" hidden="1">
      <c r="A241" s="52">
        <f t="shared" si="18"/>
        <v>39283</v>
      </c>
      <c r="B241" s="64"/>
      <c r="C241" s="54" t="s">
        <v>67</v>
      </c>
      <c r="D241" s="69">
        <v>0.0024000000000000002</v>
      </c>
      <c r="E241" s="56">
        <f t="shared" si="19"/>
        <v>1.0024</v>
      </c>
      <c r="F241" s="66"/>
      <c r="G241" s="67"/>
    </row>
    <row r="242" spans="1:7" ht="12.75" customHeight="1" hidden="1">
      <c r="A242" s="52">
        <f t="shared" si="18"/>
        <v>39313.5</v>
      </c>
      <c r="B242" s="64"/>
      <c r="C242" s="54" t="s">
        <v>67</v>
      </c>
      <c r="D242" s="69">
        <v>0.004200000000000001</v>
      </c>
      <c r="E242" s="56">
        <f t="shared" si="19"/>
        <v>1.0042</v>
      </c>
      <c r="F242" s="66"/>
      <c r="G242" s="67"/>
    </row>
    <row r="243" spans="1:7" ht="12.75" customHeight="1" hidden="1">
      <c r="A243" s="52">
        <f t="shared" si="18"/>
        <v>39344</v>
      </c>
      <c r="B243" s="64"/>
      <c r="C243" s="54" t="s">
        <v>67</v>
      </c>
      <c r="D243" s="69">
        <v>0.0029000000000000002</v>
      </c>
      <c r="E243" s="56">
        <f t="shared" si="19"/>
        <v>1.0029</v>
      </c>
      <c r="F243" s="66"/>
      <c r="G243" s="67"/>
    </row>
    <row r="244" spans="1:7" ht="12.75" customHeight="1" hidden="1">
      <c r="A244" s="52">
        <f t="shared" si="18"/>
        <v>39374.5</v>
      </c>
      <c r="B244" s="64"/>
      <c r="C244" s="54" t="s">
        <v>67</v>
      </c>
      <c r="D244" s="69">
        <v>0.0024000000000000002</v>
      </c>
      <c r="E244" s="56">
        <f t="shared" si="19"/>
        <v>1.0024</v>
      </c>
      <c r="F244" s="66"/>
      <c r="G244" s="67"/>
    </row>
    <row r="245" spans="1:7" ht="12.75" customHeight="1" hidden="1">
      <c r="A245" s="52">
        <f t="shared" si="18"/>
        <v>39405</v>
      </c>
      <c r="B245" s="64"/>
      <c r="C245" s="54" t="s">
        <v>67</v>
      </c>
      <c r="D245" s="69">
        <v>0.0023</v>
      </c>
      <c r="E245" s="56">
        <f t="shared" si="19"/>
        <v>1.0023</v>
      </c>
      <c r="F245" s="66"/>
      <c r="G245" s="67"/>
    </row>
    <row r="246" spans="1:7" ht="12.75" customHeight="1" hidden="1">
      <c r="A246" s="52">
        <f t="shared" si="18"/>
        <v>39435.5</v>
      </c>
      <c r="B246" s="64"/>
      <c r="C246" s="54" t="s">
        <v>67</v>
      </c>
      <c r="D246" s="55">
        <v>0.007</v>
      </c>
      <c r="E246" s="56">
        <f t="shared" si="19"/>
        <v>1.007</v>
      </c>
      <c r="F246" s="66"/>
      <c r="G246" s="67"/>
    </row>
    <row r="65536" ht="13.5" customHeight="1"/>
  </sheetData>
  <sheetProtection sheet="1" objects="1" scenarios="1"/>
  <mergeCells count="20">
    <mergeCell ref="A1:G1"/>
    <mergeCell ref="A2:G2"/>
    <mergeCell ref="A4:B4"/>
    <mergeCell ref="C4:G4"/>
    <mergeCell ref="A5:B5"/>
    <mergeCell ref="C5:G5"/>
    <mergeCell ref="A7:B7"/>
    <mergeCell ref="C7:G7"/>
    <mergeCell ref="A8:B8"/>
    <mergeCell ref="C8:G8"/>
    <mergeCell ref="A10:B10"/>
    <mergeCell ref="C10:G10"/>
    <mergeCell ref="A99:F99"/>
    <mergeCell ref="A101:G102"/>
    <mergeCell ref="B12:C12"/>
    <mergeCell ref="A13:A14"/>
    <mergeCell ref="B13:B14"/>
    <mergeCell ref="C13:C14"/>
    <mergeCell ref="D13:F13"/>
    <mergeCell ref="G13:G14"/>
  </mergeCells>
  <printOptions/>
  <pageMargins left="0.9840277777777777" right="0.6694444444444444" top="0.49027777777777776" bottom="0.4701388888888889" header="0.5118055555555555" footer="0.5118055555555555"/>
  <pageSetup horizontalDpi="300" verticalDpi="300" orientation="portrait" paperSize="9"/>
  <rowBreaks count="1" manualBreakCount="1">
    <brk id="56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3"/>
  <sheetViews>
    <sheetView zoomScalePageLayoutView="0" workbookViewId="0" topLeftCell="A1">
      <selection activeCell="C24" sqref="C24"/>
    </sheetView>
  </sheetViews>
  <sheetFormatPr defaultColWidth="9.00390625" defaultRowHeight="12" customHeight="1"/>
  <cols>
    <col min="1" max="1" width="9.75390625" style="28" customWidth="1"/>
    <col min="2" max="3" width="12.25390625" style="28" customWidth="1"/>
    <col min="4" max="4" width="12.25390625" style="70" customWidth="1"/>
    <col min="5" max="5" width="12.25390625" style="28" customWidth="1"/>
    <col min="6" max="6" width="10.75390625" style="28" customWidth="1"/>
    <col min="7" max="7" width="12.25390625" style="28" customWidth="1"/>
    <col min="8" max="8" width="0" style="28" hidden="1" customWidth="1"/>
    <col min="9" max="9" width="11.625" style="28" customWidth="1"/>
    <col min="10" max="10" width="11.125" style="28" customWidth="1"/>
    <col min="11" max="11" width="19.25390625" style="28" customWidth="1"/>
    <col min="12" max="16384" width="9.125" style="28" customWidth="1"/>
  </cols>
  <sheetData>
    <row r="1" spans="1:16" s="27" customFormat="1" ht="19.5">
      <c r="A1" s="212" t="s">
        <v>0</v>
      </c>
      <c r="B1" s="212"/>
      <c r="C1" s="212"/>
      <c r="D1" s="212"/>
      <c r="E1" s="212"/>
      <c r="F1" s="212"/>
      <c r="G1" s="212"/>
      <c r="H1" s="212"/>
      <c r="I1" s="71"/>
      <c r="J1" s="71"/>
      <c r="K1" s="71"/>
      <c r="L1" s="71"/>
      <c r="M1" s="71"/>
      <c r="N1" s="71"/>
      <c r="O1" s="71"/>
      <c r="P1" s="71"/>
    </row>
    <row r="2" spans="1:8" ht="18.75" customHeight="1">
      <c r="A2" s="213" t="s">
        <v>71</v>
      </c>
      <c r="B2" s="213"/>
      <c r="C2" s="213"/>
      <c r="D2" s="213"/>
      <c r="E2" s="213"/>
      <c r="F2" s="213"/>
      <c r="G2" s="213"/>
      <c r="H2" s="213"/>
    </row>
    <row r="3" spans="1:12" s="73" customFormat="1" ht="14.25">
      <c r="A3" s="194" t="s">
        <v>19</v>
      </c>
      <c r="B3" s="194"/>
      <c r="C3" s="210">
        <f>+IF(ISBLANK('Inicial - Resumo'!C4),"",'Inicial - Resumo'!C4)</f>
      </c>
      <c r="D3" s="210"/>
      <c r="E3" s="210"/>
      <c r="F3" s="210"/>
      <c r="G3" s="72"/>
      <c r="H3" s="72"/>
      <c r="I3" s="33"/>
      <c r="J3" s="33"/>
      <c r="K3" s="33"/>
      <c r="L3" s="33"/>
    </row>
    <row r="4" spans="1:12" s="73" customFormat="1" ht="14.25">
      <c r="A4" s="194" t="s">
        <v>20</v>
      </c>
      <c r="B4" s="194"/>
      <c r="C4" s="210">
        <f>+IF(ISBLANK('Inicial - Resumo'!C5),"",'Inicial - Resumo'!C5)</f>
      </c>
      <c r="D4" s="210"/>
      <c r="E4" s="210"/>
      <c r="F4" s="210"/>
      <c r="G4" s="72"/>
      <c r="H4" s="72"/>
      <c r="I4" s="33"/>
      <c r="J4" s="33"/>
      <c r="K4" s="33"/>
      <c r="L4" s="33"/>
    </row>
    <row r="5" spans="1:6" s="78" customFormat="1" ht="3.75" customHeight="1">
      <c r="A5" s="9"/>
      <c r="B5" s="36"/>
      <c r="C5" s="74"/>
      <c r="D5" s="75"/>
      <c r="E5" s="76"/>
      <c r="F5" s="77"/>
    </row>
    <row r="6" spans="1:6" ht="12.75" customHeight="1">
      <c r="A6" s="205" t="s">
        <v>21</v>
      </c>
      <c r="B6" s="205"/>
      <c r="C6" s="206">
        <f>+IF(ISBLANK('Inicial - Resumo'!C7),"",'Inicial - Resumo'!C7)</f>
      </c>
      <c r="D6" s="206"/>
      <c r="E6" s="206"/>
      <c r="F6" s="206"/>
    </row>
    <row r="7" spans="1:6" ht="12.75" customHeight="1">
      <c r="A7" s="205" t="s">
        <v>22</v>
      </c>
      <c r="B7" s="205"/>
      <c r="C7" s="206">
        <f>+IF(ISBLANK('Inicial - Resumo'!C8),"",'Inicial - Resumo'!C8)</f>
      </c>
      <c r="D7" s="206"/>
      <c r="E7" s="206"/>
      <c r="F7" s="206"/>
    </row>
    <row r="8" spans="1:6" ht="3.75" customHeight="1">
      <c r="A8" s="41"/>
      <c r="B8" s="41"/>
      <c r="C8" s="42"/>
      <c r="D8" s="79"/>
      <c r="E8" s="42"/>
      <c r="F8" s="80"/>
    </row>
    <row r="9" spans="1:6" ht="12.75" customHeight="1">
      <c r="A9" s="205" t="str">
        <f>+'Inicial - Resumo'!A10</f>
        <v>Data de Consolidação:</v>
      </c>
      <c r="B9" s="205"/>
      <c r="C9" s="207">
        <f>+IF(ISBLANK('Inicial - Resumo'!C10),"",'Inicial - Resumo'!C10)</f>
        <v>39448</v>
      </c>
      <c r="D9" s="207"/>
      <c r="E9" s="207"/>
      <c r="F9" s="207"/>
    </row>
    <row r="10" spans="1:8" s="83" customFormat="1" ht="25.5" customHeight="1">
      <c r="A10" s="31"/>
      <c r="B10" s="46" t="s">
        <v>55</v>
      </c>
      <c r="C10" s="47" t="str">
        <f>+'Inicial - Resumo'!A31</f>
        <v>Nome do Responsável</v>
      </c>
      <c r="D10" s="81"/>
      <c r="E10" s="31"/>
      <c r="F10" s="31" t="str">
        <f>+'Inicial - Resumo'!A32</f>
        <v>Identificação do Responsável</v>
      </c>
      <c r="G10" s="47"/>
      <c r="H10" s="82">
        <f>+'Inicial - Resumo'!K14</f>
        <v>0</v>
      </c>
    </row>
    <row r="11" spans="1:8" s="83" customFormat="1" ht="2.25" customHeight="1">
      <c r="A11" s="31"/>
      <c r="B11" s="46"/>
      <c r="C11" s="47"/>
      <c r="D11" s="81"/>
      <c r="E11" s="31"/>
      <c r="F11" s="31"/>
      <c r="G11" s="31"/>
      <c r="H11" s="82"/>
    </row>
    <row r="12" spans="1:9" s="31" customFormat="1" ht="24" customHeight="1">
      <c r="A12" s="84">
        <v>2008</v>
      </c>
      <c r="B12" s="85" t="s">
        <v>72</v>
      </c>
      <c r="C12" s="85" t="s">
        <v>73</v>
      </c>
      <c r="D12" s="85" t="s">
        <v>74</v>
      </c>
      <c r="E12" s="85" t="s">
        <v>75</v>
      </c>
      <c r="F12" s="86" t="s">
        <v>76</v>
      </c>
      <c r="G12" s="87" t="s">
        <v>77</v>
      </c>
      <c r="H12" s="88" t="b">
        <f>+'Inicial - Resumo'!L18</f>
        <v>0</v>
      </c>
      <c r="I12" s="89"/>
    </row>
    <row r="13" spans="1:8" s="30" customFormat="1" ht="12" customHeight="1">
      <c r="A13" s="90">
        <v>39462</v>
      </c>
      <c r="B13" s="91">
        <f>+IF(H12,IF(H13,H10,0),'I. Contribuições'!G99)</f>
        <v>0</v>
      </c>
      <c r="C13" s="92"/>
      <c r="D13" s="93"/>
      <c r="E13" s="94"/>
      <c r="F13" s="69">
        <v>0.007</v>
      </c>
      <c r="G13" s="91">
        <f aca="true" t="shared" si="0" ref="G13:G23">+B13*(1+F13)</f>
        <v>0</v>
      </c>
      <c r="H13" s="95" t="b">
        <f>+AND(MONTH(A13)=MONTH('Inicial - Resumo'!K$13),YEAR(A13)=YEAR('Inicial - Resumo'!K$13),G$250)</f>
        <v>1</v>
      </c>
    </row>
    <row r="14" spans="1:8" s="30" customFormat="1" ht="12" customHeight="1">
      <c r="A14" s="90">
        <f aca="true" t="shared" si="1" ref="A14:A23">+A13+30.5</f>
        <v>39492.5</v>
      </c>
      <c r="B14" s="91">
        <f aca="true" t="shared" si="2" ref="B14:B24">+IF(AND(H$12,H14),H$10,G13)</f>
        <v>0</v>
      </c>
      <c r="C14" s="96"/>
      <c r="D14" s="97"/>
      <c r="E14" s="98"/>
      <c r="F14" s="69">
        <v>0.0064</v>
      </c>
      <c r="G14" s="91">
        <f t="shared" si="0"/>
        <v>0</v>
      </c>
      <c r="H14" s="31" t="b">
        <f>+AND(MONTH(A14)=MONTH('Inicial - Resumo'!K$13),YEAR(A14)=YEAR('Inicial - Resumo'!K$13),G$250)</f>
        <v>0</v>
      </c>
    </row>
    <row r="15" spans="1:8" s="30" customFormat="1" ht="12" customHeight="1">
      <c r="A15" s="90">
        <f t="shared" si="1"/>
        <v>39523</v>
      </c>
      <c r="B15" s="91">
        <f t="shared" si="2"/>
        <v>0</v>
      </c>
      <c r="C15" s="96"/>
      <c r="D15" s="97"/>
      <c r="E15" s="98"/>
      <c r="F15" s="69">
        <v>0.0023</v>
      </c>
      <c r="G15" s="91">
        <f t="shared" si="0"/>
        <v>0</v>
      </c>
      <c r="H15" s="31" t="b">
        <f>+AND(MONTH(A15)=MONTH('Inicial - Resumo'!K$13),YEAR(A15)=YEAR('Inicial - Resumo'!K$13),G$250)</f>
        <v>0</v>
      </c>
    </row>
    <row r="16" spans="1:8" s="30" customFormat="1" ht="12" customHeight="1">
      <c r="A16" s="90">
        <f t="shared" si="1"/>
        <v>39553.5</v>
      </c>
      <c r="B16" s="91">
        <f t="shared" si="2"/>
        <v>0</v>
      </c>
      <c r="C16" s="96"/>
      <c r="D16" s="97"/>
      <c r="E16" s="98"/>
      <c r="F16" s="69">
        <v>0.0059</v>
      </c>
      <c r="G16" s="91">
        <f t="shared" si="0"/>
        <v>0</v>
      </c>
      <c r="H16" s="31" t="b">
        <f>+AND(MONTH(A16)=MONTH('Inicial - Resumo'!K$13),YEAR(A16)=YEAR('Inicial - Resumo'!K$13),G$250)</f>
        <v>0</v>
      </c>
    </row>
    <row r="17" spans="1:8" s="30" customFormat="1" ht="12" customHeight="1">
      <c r="A17" s="90">
        <f t="shared" si="1"/>
        <v>39584</v>
      </c>
      <c r="B17" s="91">
        <f t="shared" si="2"/>
        <v>0</v>
      </c>
      <c r="C17" s="96"/>
      <c r="D17" s="97"/>
      <c r="E17" s="98"/>
      <c r="F17" s="69">
        <v>0.0056</v>
      </c>
      <c r="G17" s="91">
        <f t="shared" si="0"/>
        <v>0</v>
      </c>
      <c r="H17" s="31" t="b">
        <f>+AND(MONTH(A17)=MONTH('Inicial - Resumo'!K$13),YEAR(A17)=YEAR('Inicial - Resumo'!K$13),G$250)</f>
        <v>0</v>
      </c>
    </row>
    <row r="18" spans="1:256" s="30" customFormat="1" ht="12" customHeight="1">
      <c r="A18" s="90">
        <f t="shared" si="1"/>
        <v>39614.5</v>
      </c>
      <c r="B18" s="91">
        <f t="shared" si="2"/>
        <v>0</v>
      </c>
      <c r="C18" s="96"/>
      <c r="D18" s="97"/>
      <c r="E18" s="98"/>
      <c r="F18" s="69">
        <v>0.009000000000000001</v>
      </c>
      <c r="G18" s="91">
        <f t="shared" si="0"/>
        <v>0</v>
      </c>
      <c r="H18" s="31" t="b">
        <f>+AND(MONTH(A18)=MONTH('Inicial - Resumo'!K$13),YEAR(A18)=YEAR('Inicial - Resumo'!K$13),G$250)</f>
        <v>0</v>
      </c>
      <c r="IR18" s="2"/>
      <c r="IS18" s="2"/>
      <c r="IT18" s="2"/>
      <c r="IU18" s="2"/>
      <c r="IV18" s="2"/>
    </row>
    <row r="19" spans="1:256" s="30" customFormat="1" ht="12" customHeight="1">
      <c r="A19" s="90">
        <f t="shared" si="1"/>
        <v>39645</v>
      </c>
      <c r="B19" s="91">
        <f t="shared" si="2"/>
        <v>0</v>
      </c>
      <c r="C19" s="96"/>
      <c r="D19" s="97"/>
      <c r="E19" s="98"/>
      <c r="F19" s="69">
        <v>0.0063</v>
      </c>
      <c r="G19" s="91">
        <f t="shared" si="0"/>
        <v>0</v>
      </c>
      <c r="H19" s="31" t="b">
        <f>+AND(MONTH(A19)=MONTH('Inicial - Resumo'!K$13),YEAR(A19)=YEAR('Inicial - Resumo'!K$13),G$250)</f>
        <v>0</v>
      </c>
      <c r="IR19" s="2"/>
      <c r="IS19" s="2"/>
      <c r="IT19" s="2"/>
      <c r="IU19" s="2"/>
      <c r="IV19" s="2"/>
    </row>
    <row r="20" spans="1:256" s="30" customFormat="1" ht="12" customHeight="1">
      <c r="A20" s="90">
        <f t="shared" si="1"/>
        <v>39675.5</v>
      </c>
      <c r="B20" s="91">
        <f t="shared" si="2"/>
        <v>0</v>
      </c>
      <c r="C20" s="96"/>
      <c r="D20" s="97"/>
      <c r="E20" s="98"/>
      <c r="F20" s="69">
        <v>0.0035</v>
      </c>
      <c r="G20" s="91">
        <f t="shared" si="0"/>
        <v>0</v>
      </c>
      <c r="H20" s="31" t="b">
        <f>+AND(MONTH(A20)=MONTH('Inicial - Resumo'!K$13),YEAR(A20)=YEAR('Inicial - Resumo'!K$13),G$250)</f>
        <v>0</v>
      </c>
      <c r="IR20" s="2"/>
      <c r="IS20" s="2"/>
      <c r="IT20" s="2"/>
      <c r="IU20" s="2"/>
      <c r="IV20" s="2"/>
    </row>
    <row r="21" spans="1:256" s="30" customFormat="1" ht="12" customHeight="1">
      <c r="A21" s="90">
        <f t="shared" si="1"/>
        <v>39706</v>
      </c>
      <c r="B21" s="91">
        <f t="shared" si="2"/>
        <v>0</v>
      </c>
      <c r="C21" s="96"/>
      <c r="D21" s="97"/>
      <c r="E21" s="98"/>
      <c r="F21" s="69">
        <v>0.0026000000000000003</v>
      </c>
      <c r="G21" s="91">
        <f t="shared" si="0"/>
        <v>0</v>
      </c>
      <c r="H21" s="31" t="b">
        <f>+AND(MONTH(A21)=MONTH('Inicial - Resumo'!K$13),YEAR(A21)=YEAR('Inicial - Resumo'!K$13),G$250)</f>
        <v>0</v>
      </c>
      <c r="IR21" s="2"/>
      <c r="IS21" s="2"/>
      <c r="IT21" s="2"/>
      <c r="IU21" s="2"/>
      <c r="IV21" s="2"/>
    </row>
    <row r="22" spans="1:256" s="30" customFormat="1" ht="12" customHeight="1">
      <c r="A22" s="90">
        <f t="shared" si="1"/>
        <v>39736.5</v>
      </c>
      <c r="B22" s="91">
        <f t="shared" si="2"/>
        <v>0</v>
      </c>
      <c r="C22" s="96"/>
      <c r="D22" s="97"/>
      <c r="E22" s="98"/>
      <c r="F22" s="69">
        <v>0.003</v>
      </c>
      <c r="G22" s="91">
        <f t="shared" si="0"/>
        <v>0</v>
      </c>
      <c r="H22" s="31" t="b">
        <f>+AND(MONTH(A22)=MONTH('Inicial - Resumo'!K$13),YEAR(A22)=YEAR('Inicial - Resumo'!K$13),G$250)</f>
        <v>0</v>
      </c>
      <c r="IR22" s="2"/>
      <c r="IS22" s="2"/>
      <c r="IT22" s="2"/>
      <c r="IU22" s="2"/>
      <c r="IV22" s="2"/>
    </row>
    <row r="23" spans="1:256" s="30" customFormat="1" ht="12" customHeight="1">
      <c r="A23" s="90">
        <f t="shared" si="1"/>
        <v>39767</v>
      </c>
      <c r="B23" s="91">
        <f t="shared" si="2"/>
        <v>0</v>
      </c>
      <c r="C23" s="99"/>
      <c r="D23" s="100"/>
      <c r="E23" s="101"/>
      <c r="F23" s="69">
        <v>0.0049</v>
      </c>
      <c r="G23" s="91">
        <f t="shared" si="0"/>
        <v>0</v>
      </c>
      <c r="H23" s="31" t="b">
        <f>+AND(MONTH(A23)=MONTH('Inicial - Resumo'!K$13),YEAR(A23)=YEAR('Inicial - Resumo'!K$13),G$250)</f>
        <v>0</v>
      </c>
      <c r="IR23" s="2"/>
      <c r="IS23" s="2"/>
      <c r="IT23" s="2"/>
      <c r="IU23" s="2"/>
      <c r="IV23" s="2"/>
    </row>
    <row r="24" spans="1:256" s="30" customFormat="1" ht="12" customHeight="1">
      <c r="A24" s="90">
        <v>39797</v>
      </c>
      <c r="B24" s="91">
        <f t="shared" si="2"/>
        <v>0</v>
      </c>
      <c r="C24" s="102">
        <v>0</v>
      </c>
      <c r="D24" s="103">
        <f>+MIN(B24,C24)</f>
        <v>0</v>
      </c>
      <c r="E24" s="91">
        <f>+B24-D24</f>
        <v>0</v>
      </c>
      <c r="F24" s="104"/>
      <c r="G24" s="105"/>
      <c r="H24" s="95" t="b">
        <f>+AND(MONTH(A24)=MONTH('Inicial - Resumo'!K$13),YEAR(A24)=YEAR('Inicial - Resumo'!K$13),G$250)</f>
        <v>0</v>
      </c>
      <c r="I24" s="106"/>
      <c r="IT24" s="2"/>
      <c r="IU24" s="2"/>
      <c r="IV24" s="2"/>
    </row>
    <row r="25" spans="1:256" s="30" customFormat="1" ht="12" customHeight="1">
      <c r="A25" s="52" t="s">
        <v>78</v>
      </c>
      <c r="B25" s="91">
        <f>+E24</f>
        <v>0</v>
      </c>
      <c r="C25" s="102">
        <v>0</v>
      </c>
      <c r="D25" s="103">
        <f>+MIN(B25,C25)</f>
        <v>0</v>
      </c>
      <c r="E25" s="91">
        <f>+B25-D25</f>
        <v>0</v>
      </c>
      <c r="F25" s="69">
        <v>0.0029000000000000002</v>
      </c>
      <c r="G25" s="91">
        <f>+E25*(1+F25)</f>
        <v>0</v>
      </c>
      <c r="H25" s="95"/>
      <c r="I25" s="106"/>
      <c r="IT25" s="2"/>
      <c r="IU25" s="2"/>
      <c r="IV25" s="2"/>
    </row>
    <row r="26" spans="1:256" s="30" customFormat="1" ht="11.25" customHeight="1">
      <c r="A26" s="107"/>
      <c r="B26" s="108"/>
      <c r="C26" s="108"/>
      <c r="D26" s="109"/>
      <c r="E26" s="108"/>
      <c r="F26" s="110"/>
      <c r="G26" s="108"/>
      <c r="H26" s="95"/>
      <c r="I26" s="106"/>
      <c r="IT26" s="2"/>
      <c r="IU26" s="2"/>
      <c r="IV26" s="2"/>
    </row>
    <row r="27" spans="1:256" s="31" customFormat="1" ht="24" customHeight="1">
      <c r="A27" s="84">
        <v>2009</v>
      </c>
      <c r="B27" s="85" t="s">
        <v>72</v>
      </c>
      <c r="C27" s="85" t="s">
        <v>73</v>
      </c>
      <c r="D27" s="85" t="s">
        <v>74</v>
      </c>
      <c r="E27" s="85" t="s">
        <v>75</v>
      </c>
      <c r="F27" s="86" t="s">
        <v>76</v>
      </c>
      <c r="G27" s="87" t="s">
        <v>77</v>
      </c>
      <c r="H27" s="88">
        <f>+'Inicial - Resumo'!L35</f>
        <v>0</v>
      </c>
      <c r="I27" s="89"/>
      <c r="IT27" s="20"/>
      <c r="IU27" s="20"/>
      <c r="IV27" s="20"/>
    </row>
    <row r="28" spans="1:256" s="30" customFormat="1" ht="12" customHeight="1">
      <c r="A28" s="90">
        <f>+A24+30.5</f>
        <v>39827.5</v>
      </c>
      <c r="B28" s="91">
        <f>+IF(AND(H$12,H28),H$10,G25)</f>
        <v>0</v>
      </c>
      <c r="C28" s="92"/>
      <c r="D28" s="93"/>
      <c r="E28" s="94"/>
      <c r="F28" s="111">
        <v>0.004</v>
      </c>
      <c r="G28" s="91">
        <f aca="true" t="shared" si="3" ref="G28:G38">+B28*(1+F28)</f>
        <v>0</v>
      </c>
      <c r="H28" s="31" t="b">
        <f>+AND(MONTH(A28)=MONTH('Inicial - Resumo'!K$13),YEAR(A28)=YEAR('Inicial - Resumo'!K$13),G$250)</f>
        <v>0</v>
      </c>
      <c r="I28" s="106"/>
      <c r="IT28" s="2"/>
      <c r="IU28" s="2"/>
      <c r="IV28" s="2"/>
    </row>
    <row r="29" spans="1:256" s="30" customFormat="1" ht="12" customHeight="1">
      <c r="A29" s="90">
        <f aca="true" t="shared" si="4" ref="A29:A39">+A28+30.5</f>
        <v>39858</v>
      </c>
      <c r="B29" s="91">
        <f aca="true" t="shared" si="5" ref="B29:B39">+IF(AND(H$12,H29),H$10,G28)</f>
        <v>0</v>
      </c>
      <c r="C29" s="96"/>
      <c r="D29" s="97"/>
      <c r="E29" s="98"/>
      <c r="F29" s="111">
        <v>0.0063</v>
      </c>
      <c r="G29" s="91">
        <f t="shared" si="3"/>
        <v>0</v>
      </c>
      <c r="H29" s="31" t="b">
        <f>+AND(MONTH(A29)=MONTH('Inicial - Resumo'!K$13),YEAR(A29)=YEAR('Inicial - Resumo'!K$13),G$250)</f>
        <v>0</v>
      </c>
      <c r="I29" s="106"/>
      <c r="IT29" s="2"/>
      <c r="IU29" s="2"/>
      <c r="IV29" s="2"/>
    </row>
    <row r="30" spans="1:256" s="30" customFormat="1" ht="12" customHeight="1">
      <c r="A30" s="90">
        <f t="shared" si="4"/>
        <v>39888.5</v>
      </c>
      <c r="B30" s="91">
        <f t="shared" si="5"/>
        <v>0</v>
      </c>
      <c r="C30" s="96"/>
      <c r="D30" s="97"/>
      <c r="E30" s="98"/>
      <c r="F30" s="111">
        <v>0.0011</v>
      </c>
      <c r="G30" s="91">
        <f t="shared" si="3"/>
        <v>0</v>
      </c>
      <c r="H30" s="31" t="b">
        <f>+AND(MONTH(A30)=MONTH('Inicial - Resumo'!K$13),YEAR(A30)=YEAR('Inicial - Resumo'!K$13),G$250)</f>
        <v>0</v>
      </c>
      <c r="I30" s="106"/>
      <c r="IT30" s="2"/>
      <c r="IU30" s="2"/>
      <c r="IV30" s="2"/>
    </row>
    <row r="31" spans="1:256" s="30" customFormat="1" ht="12" customHeight="1">
      <c r="A31" s="90">
        <f t="shared" si="4"/>
        <v>39919</v>
      </c>
      <c r="B31" s="91">
        <f t="shared" si="5"/>
        <v>0</v>
      </c>
      <c r="C31" s="96"/>
      <c r="D31" s="97"/>
      <c r="E31" s="98"/>
      <c r="F31" s="111">
        <v>0.0036000000000000003</v>
      </c>
      <c r="G31" s="91">
        <f t="shared" si="3"/>
        <v>0</v>
      </c>
      <c r="H31" s="31" t="b">
        <f>+AND(MONTH(A31)=MONTH('Inicial - Resumo'!K$13),YEAR(A31)=YEAR('Inicial - Resumo'!K$13),G$250)</f>
        <v>0</v>
      </c>
      <c r="I31" s="106"/>
      <c r="IT31" s="2"/>
      <c r="IU31" s="2"/>
      <c r="IV31" s="2"/>
    </row>
    <row r="32" spans="1:256" s="30" customFormat="1" ht="12" customHeight="1">
      <c r="A32" s="90">
        <f t="shared" si="4"/>
        <v>39949.5</v>
      </c>
      <c r="B32" s="91">
        <f t="shared" si="5"/>
        <v>0</v>
      </c>
      <c r="C32" s="96"/>
      <c r="D32" s="97"/>
      <c r="E32" s="98"/>
      <c r="F32" s="111">
        <v>0.0059</v>
      </c>
      <c r="G32" s="91">
        <f t="shared" si="3"/>
        <v>0</v>
      </c>
      <c r="H32" s="31" t="b">
        <f>+AND(MONTH(A32)=MONTH('Inicial - Resumo'!K$13),YEAR(A32)=YEAR('Inicial - Resumo'!K$13),G$250)</f>
        <v>0</v>
      </c>
      <c r="I32" s="106"/>
      <c r="IT32" s="2"/>
      <c r="IU32" s="2"/>
      <c r="IV32" s="2"/>
    </row>
    <row r="33" spans="1:256" s="30" customFormat="1" ht="12" customHeight="1">
      <c r="A33" s="90">
        <f t="shared" si="4"/>
        <v>39980</v>
      </c>
      <c r="B33" s="91">
        <f t="shared" si="5"/>
        <v>0</v>
      </c>
      <c r="C33" s="96"/>
      <c r="D33" s="97"/>
      <c r="E33" s="98"/>
      <c r="F33" s="111">
        <v>0.0038</v>
      </c>
      <c r="G33" s="91">
        <f t="shared" si="3"/>
        <v>0</v>
      </c>
      <c r="H33" s="31" t="b">
        <f>+AND(MONTH(A33)=MONTH('Inicial - Resumo'!K$13),YEAR(A33)=YEAR('Inicial - Resumo'!K$13),G$250)</f>
        <v>0</v>
      </c>
      <c r="I33" s="106"/>
      <c r="IT33" s="2"/>
      <c r="IU33" s="2"/>
      <c r="IV33" s="2"/>
    </row>
    <row r="34" spans="1:256" s="30" customFormat="1" ht="12" customHeight="1">
      <c r="A34" s="90">
        <f t="shared" si="4"/>
        <v>40010.5</v>
      </c>
      <c r="B34" s="91">
        <f t="shared" si="5"/>
        <v>0</v>
      </c>
      <c r="C34" s="96"/>
      <c r="D34" s="97"/>
      <c r="E34" s="98"/>
      <c r="F34" s="111">
        <v>0.0022</v>
      </c>
      <c r="G34" s="91">
        <f t="shared" si="3"/>
        <v>0</v>
      </c>
      <c r="H34" s="31" t="b">
        <f>+AND(MONTH(A34)=MONTH('Inicial - Resumo'!K$13),YEAR(A34)=YEAR('Inicial - Resumo'!K$13),G$250)</f>
        <v>0</v>
      </c>
      <c r="I34" s="106"/>
      <c r="IT34" s="2"/>
      <c r="IU34" s="2"/>
      <c r="IV34" s="2"/>
    </row>
    <row r="35" spans="1:256" s="30" customFormat="1" ht="12" customHeight="1">
      <c r="A35" s="90">
        <f t="shared" si="4"/>
        <v>40041</v>
      </c>
      <c r="B35" s="91">
        <f t="shared" si="5"/>
        <v>0</v>
      </c>
      <c r="C35" s="96"/>
      <c r="D35" s="97"/>
      <c r="E35" s="98"/>
      <c r="F35" s="111">
        <v>0.0023</v>
      </c>
      <c r="G35" s="91">
        <f t="shared" si="3"/>
        <v>0</v>
      </c>
      <c r="H35" s="31" t="b">
        <f>+AND(MONTH(A35)=MONTH('Inicial - Resumo'!K$13),YEAR(A35)=YEAR('Inicial - Resumo'!K$13),G$250)</f>
        <v>0</v>
      </c>
      <c r="I35" s="106"/>
      <c r="IT35" s="2"/>
      <c r="IU35" s="2"/>
      <c r="IV35" s="2"/>
    </row>
    <row r="36" spans="1:256" s="30" customFormat="1" ht="12" customHeight="1">
      <c r="A36" s="90">
        <f t="shared" si="4"/>
        <v>40071.5</v>
      </c>
      <c r="B36" s="91">
        <f t="shared" si="5"/>
        <v>0</v>
      </c>
      <c r="C36" s="96"/>
      <c r="D36" s="97"/>
      <c r="E36" s="98"/>
      <c r="F36" s="111">
        <v>0.0019</v>
      </c>
      <c r="G36" s="91">
        <f t="shared" si="3"/>
        <v>0</v>
      </c>
      <c r="H36" s="31" t="b">
        <f>+AND(MONTH(A36)=MONTH('Inicial - Resumo'!K$13),YEAR(A36)=YEAR('Inicial - Resumo'!K$13),G$250)</f>
        <v>0</v>
      </c>
      <c r="I36" s="106"/>
      <c r="IT36" s="2"/>
      <c r="IU36" s="2"/>
      <c r="IV36" s="2"/>
    </row>
    <row r="37" spans="1:9" s="30" customFormat="1" ht="12" customHeight="1">
      <c r="A37" s="90">
        <f t="shared" si="4"/>
        <v>40102</v>
      </c>
      <c r="B37" s="91">
        <f t="shared" si="5"/>
        <v>0</v>
      </c>
      <c r="C37" s="96"/>
      <c r="D37" s="97"/>
      <c r="E37" s="98"/>
      <c r="F37" s="111">
        <v>0.0018000000000000002</v>
      </c>
      <c r="G37" s="91">
        <f t="shared" si="3"/>
        <v>0</v>
      </c>
      <c r="H37" s="31" t="b">
        <f>+AND(MONTH(A37)=MONTH('Inicial - Resumo'!K$13),YEAR(A37)=YEAR('Inicial - Resumo'!K$13),G$250)</f>
        <v>0</v>
      </c>
      <c r="I37" s="106"/>
    </row>
    <row r="38" spans="1:9" s="30" customFormat="1" ht="12" customHeight="1">
      <c r="A38" s="90">
        <f t="shared" si="4"/>
        <v>40132.5</v>
      </c>
      <c r="B38" s="91">
        <f t="shared" si="5"/>
        <v>0</v>
      </c>
      <c r="C38" s="99"/>
      <c r="D38" s="100"/>
      <c r="E38" s="101"/>
      <c r="F38" s="111">
        <v>0.0044</v>
      </c>
      <c r="G38" s="91">
        <f t="shared" si="3"/>
        <v>0</v>
      </c>
      <c r="H38" s="31" t="b">
        <f>+AND(MONTH(A38)=MONTH('Inicial - Resumo'!K$13),YEAR(A38)=YEAR('Inicial - Resumo'!K$13),G$250)</f>
        <v>0</v>
      </c>
      <c r="I38" s="106"/>
    </row>
    <row r="39" spans="1:9" s="30" customFormat="1" ht="12" customHeight="1">
      <c r="A39" s="90">
        <f t="shared" si="4"/>
        <v>40163</v>
      </c>
      <c r="B39" s="91">
        <f t="shared" si="5"/>
        <v>0</v>
      </c>
      <c r="C39" s="102">
        <v>0</v>
      </c>
      <c r="D39" s="103">
        <f>+MIN(B39,C39)</f>
        <v>0</v>
      </c>
      <c r="E39" s="91">
        <f>+B39-D39</f>
        <v>0</v>
      </c>
      <c r="F39" s="104"/>
      <c r="G39" s="105"/>
      <c r="H39" s="31" t="b">
        <f>+AND(MONTH(A39)=MONTH('Inicial - Resumo'!K$13),YEAR(A39)=YEAR('Inicial - Resumo'!K$13),G$250)</f>
        <v>0</v>
      </c>
      <c r="I39" s="106"/>
    </row>
    <row r="40" spans="1:9" s="30" customFormat="1" ht="12" customHeight="1">
      <c r="A40" s="52" t="s">
        <v>78</v>
      </c>
      <c r="B40" s="91">
        <f>+E39</f>
        <v>0</v>
      </c>
      <c r="C40" s="102">
        <v>0</v>
      </c>
      <c r="D40" s="103">
        <f>+MIN(B40,C40)</f>
        <v>0</v>
      </c>
      <c r="E40" s="91">
        <f>+B40-D40</f>
        <v>0</v>
      </c>
      <c r="F40" s="69">
        <v>0.0038</v>
      </c>
      <c r="G40" s="91">
        <f>+E40*(1+F40)</f>
        <v>0</v>
      </c>
      <c r="H40" s="95"/>
      <c r="I40" s="106"/>
    </row>
    <row r="41" spans="1:9" s="30" customFormat="1" ht="11.25" customHeight="1">
      <c r="A41" s="107"/>
      <c r="B41" s="108"/>
      <c r="C41" s="108"/>
      <c r="D41" s="109"/>
      <c r="E41" s="108"/>
      <c r="F41" s="110"/>
      <c r="G41" s="108"/>
      <c r="H41" s="95"/>
      <c r="I41" s="106"/>
    </row>
    <row r="42" spans="1:9" s="31" customFormat="1" ht="24" customHeight="1">
      <c r="A42" s="84">
        <v>2010</v>
      </c>
      <c r="B42" s="85" t="s">
        <v>72</v>
      </c>
      <c r="C42" s="85" t="s">
        <v>73</v>
      </c>
      <c r="D42" s="85" t="s">
        <v>74</v>
      </c>
      <c r="E42" s="85" t="s">
        <v>75</v>
      </c>
      <c r="F42" s="86" t="s">
        <v>76</v>
      </c>
      <c r="G42" s="87" t="s">
        <v>77</v>
      </c>
      <c r="H42" s="88">
        <f>+'Inicial - Resumo'!L50</f>
        <v>0</v>
      </c>
      <c r="I42" s="89"/>
    </row>
    <row r="43" spans="1:9" s="30" customFormat="1" ht="12" customHeight="1">
      <c r="A43" s="90">
        <f>+A39+30.5</f>
        <v>40193.5</v>
      </c>
      <c r="B43" s="91">
        <f>+IF(AND(H$12,H43),H$10,G40)</f>
        <v>0</v>
      </c>
      <c r="C43" s="92"/>
      <c r="D43" s="93"/>
      <c r="E43" s="94"/>
      <c r="F43" s="111">
        <v>0.005200000000000001</v>
      </c>
      <c r="G43" s="91">
        <f aca="true" t="shared" si="6" ref="G43:G53">+B43*(1+F43)</f>
        <v>0</v>
      </c>
      <c r="H43" s="31" t="b">
        <f>+AND(MONTH(A43)=MONTH('Inicial - Resumo'!K$13),YEAR(A43)=YEAR('Inicial - Resumo'!K$13),G$250)</f>
        <v>0</v>
      </c>
      <c r="I43" s="106"/>
    </row>
    <row r="44" spans="1:9" s="30" customFormat="1" ht="12" customHeight="1">
      <c r="A44" s="90">
        <f aca="true" t="shared" si="7" ref="A44:A54">+A43+30.5</f>
        <v>40224</v>
      </c>
      <c r="B44" s="91">
        <f aca="true" t="shared" si="8" ref="B44:B54">+IF(AND(H$12,H44),H$10,G43)</f>
        <v>0</v>
      </c>
      <c r="C44" s="96"/>
      <c r="D44" s="97"/>
      <c r="E44" s="98"/>
      <c r="F44" s="111">
        <v>0.0094</v>
      </c>
      <c r="G44" s="91">
        <f t="shared" si="6"/>
        <v>0</v>
      </c>
      <c r="H44" s="31" t="b">
        <f>+AND(MONTH(A44)=MONTH('Inicial - Resumo'!K$13),YEAR(A44)=YEAR('Inicial - Resumo'!K$13),G$250)</f>
        <v>0</v>
      </c>
      <c r="I44" s="106"/>
    </row>
    <row r="45" spans="1:9" s="30" customFormat="1" ht="12" customHeight="1">
      <c r="A45" s="90">
        <f t="shared" si="7"/>
        <v>40254.5</v>
      </c>
      <c r="B45" s="91">
        <f t="shared" si="8"/>
        <v>0</v>
      </c>
      <c r="C45" s="96"/>
      <c r="D45" s="97"/>
      <c r="E45" s="98"/>
      <c r="F45" s="111">
        <v>0.0055000000000000005</v>
      </c>
      <c r="G45" s="91">
        <f t="shared" si="6"/>
        <v>0</v>
      </c>
      <c r="H45" s="31" t="b">
        <f>+AND(MONTH(A45)=MONTH('Inicial - Resumo'!K$13),YEAR(A45)=YEAR('Inicial - Resumo'!K$13),G$250)</f>
        <v>0</v>
      </c>
      <c r="I45" s="106"/>
    </row>
    <row r="46" spans="1:9" s="30" customFormat="1" ht="12" customHeight="1">
      <c r="A46" s="90">
        <f t="shared" si="7"/>
        <v>40285</v>
      </c>
      <c r="B46" s="91">
        <f t="shared" si="8"/>
        <v>0</v>
      </c>
      <c r="C46" s="96"/>
      <c r="D46" s="97"/>
      <c r="E46" s="98"/>
      <c r="F46" s="111">
        <v>0.0048000000000000004</v>
      </c>
      <c r="G46" s="91">
        <f t="shared" si="6"/>
        <v>0</v>
      </c>
      <c r="H46" s="31" t="b">
        <f>+AND(MONTH(A46)=MONTH('Inicial - Resumo'!K$13),YEAR(A46)=YEAR('Inicial - Resumo'!K$13),G$250)</f>
        <v>0</v>
      </c>
      <c r="I46" s="106"/>
    </row>
    <row r="47" spans="1:9" s="30" customFormat="1" ht="12" customHeight="1">
      <c r="A47" s="90">
        <f t="shared" si="7"/>
        <v>40315.5</v>
      </c>
      <c r="B47" s="91">
        <f t="shared" si="8"/>
        <v>0</v>
      </c>
      <c r="C47" s="96"/>
      <c r="D47" s="97"/>
      <c r="E47" s="98"/>
      <c r="F47" s="111">
        <v>0.0063</v>
      </c>
      <c r="G47" s="91">
        <f t="shared" si="6"/>
        <v>0</v>
      </c>
      <c r="H47" s="31" t="b">
        <f>+AND(MONTH(A47)=MONTH('Inicial - Resumo'!K$13),YEAR(A47)=YEAR('Inicial - Resumo'!K$13),G$250)</f>
        <v>0</v>
      </c>
      <c r="I47" s="106"/>
    </row>
    <row r="48" spans="1:9" s="30" customFormat="1" ht="12" customHeight="1">
      <c r="A48" s="90">
        <f t="shared" si="7"/>
        <v>40346</v>
      </c>
      <c r="B48" s="91">
        <f t="shared" si="8"/>
        <v>0</v>
      </c>
      <c r="C48" s="96"/>
      <c r="D48" s="97"/>
      <c r="E48" s="98"/>
      <c r="F48" s="111">
        <v>0.0019</v>
      </c>
      <c r="G48" s="91">
        <f t="shared" si="6"/>
        <v>0</v>
      </c>
      <c r="H48" s="31" t="b">
        <f>+AND(MONTH(A48)=MONTH('Inicial - Resumo'!K$13),YEAR(A48)=YEAR('Inicial - Resumo'!K$13),G$250)</f>
        <v>0</v>
      </c>
      <c r="I48" s="106"/>
    </row>
    <row r="49" spans="1:9" s="30" customFormat="1" ht="12" customHeight="1">
      <c r="A49" s="90">
        <f t="shared" si="7"/>
        <v>40376.5</v>
      </c>
      <c r="B49" s="91">
        <f t="shared" si="8"/>
        <v>0</v>
      </c>
      <c r="C49" s="96"/>
      <c r="D49" s="97"/>
      <c r="E49" s="98"/>
      <c r="F49" s="111">
        <v>-0.0009000000000000001</v>
      </c>
      <c r="G49" s="91">
        <f t="shared" si="6"/>
        <v>0</v>
      </c>
      <c r="H49" s="31" t="b">
        <f>+AND(MONTH(A49)=MONTH('Inicial - Resumo'!K$13),YEAR(A49)=YEAR('Inicial - Resumo'!K$13),G$250)</f>
        <v>0</v>
      </c>
      <c r="I49" s="106"/>
    </row>
    <row r="50" spans="1:9" s="30" customFormat="1" ht="12" customHeight="1">
      <c r="A50" s="90">
        <f t="shared" si="7"/>
        <v>40407</v>
      </c>
      <c r="B50" s="91">
        <f t="shared" si="8"/>
        <v>0</v>
      </c>
      <c r="C50" s="96"/>
      <c r="D50" s="97"/>
      <c r="E50" s="98"/>
      <c r="F50" s="111">
        <v>-0.0005</v>
      </c>
      <c r="G50" s="91">
        <f t="shared" si="6"/>
        <v>0</v>
      </c>
      <c r="H50" s="31" t="b">
        <f>+AND(MONTH(A50)=MONTH('Inicial - Resumo'!K$13),YEAR(A50)=YEAR('Inicial - Resumo'!K$13),G$250)</f>
        <v>0</v>
      </c>
      <c r="I50" s="106"/>
    </row>
    <row r="51" spans="1:9" s="30" customFormat="1" ht="12" customHeight="1">
      <c r="A51" s="90">
        <f t="shared" si="7"/>
        <v>40437.5</v>
      </c>
      <c r="B51" s="91">
        <f t="shared" si="8"/>
        <v>0</v>
      </c>
      <c r="C51" s="96"/>
      <c r="D51" s="97"/>
      <c r="E51" s="98"/>
      <c r="F51" s="111">
        <v>0.0031000000000000003</v>
      </c>
      <c r="G51" s="91">
        <f t="shared" si="6"/>
        <v>0</v>
      </c>
      <c r="H51" s="31" t="b">
        <f>+AND(MONTH(A51)=MONTH('Inicial - Resumo'!K$13),YEAR(A51)=YEAR('Inicial - Resumo'!K$13),G$250)</f>
        <v>0</v>
      </c>
      <c r="I51" s="106"/>
    </row>
    <row r="52" spans="1:9" s="30" customFormat="1" ht="12" customHeight="1">
      <c r="A52" s="90">
        <f t="shared" si="7"/>
        <v>40468</v>
      </c>
      <c r="B52" s="91">
        <f t="shared" si="8"/>
        <v>0</v>
      </c>
      <c r="C52" s="96"/>
      <c r="D52" s="97"/>
      <c r="E52" s="98"/>
      <c r="F52" s="111">
        <v>0.006200000000000001</v>
      </c>
      <c r="G52" s="91">
        <f t="shared" si="6"/>
        <v>0</v>
      </c>
      <c r="H52" s="31" t="b">
        <f>+AND(MONTH(A52)=MONTH('Inicial - Resumo'!K$13),YEAR(A52)=YEAR('Inicial - Resumo'!K$13),G$250)</f>
        <v>0</v>
      </c>
      <c r="I52" s="106"/>
    </row>
    <row r="53" spans="1:9" s="30" customFormat="1" ht="12" customHeight="1">
      <c r="A53" s="90">
        <f t="shared" si="7"/>
        <v>40498.5</v>
      </c>
      <c r="B53" s="91">
        <f t="shared" si="8"/>
        <v>0</v>
      </c>
      <c r="C53" s="99"/>
      <c r="D53" s="100"/>
      <c r="E53" s="101"/>
      <c r="F53" s="111">
        <v>0.0086</v>
      </c>
      <c r="G53" s="91">
        <f t="shared" si="6"/>
        <v>0</v>
      </c>
      <c r="H53" s="31" t="b">
        <f>+AND(MONTH(A53)=MONTH('Inicial - Resumo'!K$13),YEAR(A53)=YEAR('Inicial - Resumo'!K$13),G$250)</f>
        <v>0</v>
      </c>
      <c r="I53" s="106"/>
    </row>
    <row r="54" spans="1:9" s="30" customFormat="1" ht="12" customHeight="1">
      <c r="A54" s="90">
        <f t="shared" si="7"/>
        <v>40529</v>
      </c>
      <c r="B54" s="91">
        <f t="shared" si="8"/>
        <v>0</v>
      </c>
      <c r="C54" s="102">
        <v>0</v>
      </c>
      <c r="D54" s="103">
        <f>+MIN(B54,C54)</f>
        <v>0</v>
      </c>
      <c r="E54" s="91">
        <f>+B54-D54</f>
        <v>0</v>
      </c>
      <c r="F54" s="104"/>
      <c r="G54" s="105"/>
      <c r="H54" s="31" t="b">
        <f>+AND(MONTH(A54)=MONTH('Inicial - Resumo'!K$13),YEAR(A54)=YEAR('Inicial - Resumo'!K$13),G$250)</f>
        <v>0</v>
      </c>
      <c r="I54" s="106"/>
    </row>
    <row r="55" spans="1:9" s="30" customFormat="1" ht="12" customHeight="1">
      <c r="A55" s="52" t="s">
        <v>78</v>
      </c>
      <c r="B55" s="91">
        <f>+E54</f>
        <v>0</v>
      </c>
      <c r="C55" s="102">
        <v>0</v>
      </c>
      <c r="D55" s="103">
        <f>+MIN(B55,C55)</f>
        <v>0</v>
      </c>
      <c r="E55" s="91">
        <f>+B55-D55</f>
        <v>0</v>
      </c>
      <c r="F55" s="69">
        <v>0.006900000000000001</v>
      </c>
      <c r="G55" s="91">
        <f>+E55*(1+F55)</f>
        <v>0</v>
      </c>
      <c r="H55" s="95"/>
      <c r="I55" s="106"/>
    </row>
    <row r="56" spans="1:9" s="30" customFormat="1" ht="11.25" customHeight="1">
      <c r="A56" s="112"/>
      <c r="B56" s="113"/>
      <c r="C56" s="113"/>
      <c r="D56" s="114"/>
      <c r="E56" s="113"/>
      <c r="F56" s="115"/>
      <c r="G56" s="113"/>
      <c r="H56" s="95"/>
      <c r="I56" s="106"/>
    </row>
    <row r="57" spans="1:9" s="31" customFormat="1" ht="24" customHeight="1">
      <c r="A57" s="84">
        <v>2011</v>
      </c>
      <c r="B57" s="85" t="s">
        <v>72</v>
      </c>
      <c r="C57" s="85" t="s">
        <v>73</v>
      </c>
      <c r="D57" s="85" t="s">
        <v>74</v>
      </c>
      <c r="E57" s="85" t="s">
        <v>75</v>
      </c>
      <c r="F57" s="86" t="s">
        <v>76</v>
      </c>
      <c r="G57" s="87" t="s">
        <v>77</v>
      </c>
      <c r="H57" s="88">
        <f>+'Inicial - Resumo'!L65</f>
        <v>0</v>
      </c>
      <c r="I57" s="89"/>
    </row>
    <row r="58" spans="1:9" s="30" customFormat="1" ht="12" customHeight="1">
      <c r="A58" s="90">
        <f>+A54+30.5</f>
        <v>40559.5</v>
      </c>
      <c r="B58" s="91">
        <f>+IF(AND(H$12,H58),H$10,G55)</f>
        <v>0</v>
      </c>
      <c r="C58" s="92"/>
      <c r="D58" s="93"/>
      <c r="E58" s="94"/>
      <c r="F58" s="69">
        <v>0.0076</v>
      </c>
      <c r="G58" s="91">
        <f aca="true" t="shared" si="9" ref="G58:G68">+B58*(1+F58)</f>
        <v>0</v>
      </c>
      <c r="H58" s="31" t="b">
        <f>+AND(MONTH(A58)=MONTH('Inicial - Resumo'!K$13),YEAR(A58)=YEAR('Inicial - Resumo'!K$13),G$250)</f>
        <v>0</v>
      </c>
      <c r="I58" s="106"/>
    </row>
    <row r="59" spans="1:9" s="30" customFormat="1" ht="12" customHeight="1">
      <c r="A59" s="90">
        <f aca="true" t="shared" si="10" ref="A59:A69">+A58+30.5</f>
        <v>40590</v>
      </c>
      <c r="B59" s="91">
        <f aca="true" t="shared" si="11" ref="B59:B69">+IF(AND(H$12,H59),H$10,G58)</f>
        <v>0</v>
      </c>
      <c r="C59" s="96"/>
      <c r="D59" s="97"/>
      <c r="E59" s="98"/>
      <c r="F59" s="69">
        <v>0.0097</v>
      </c>
      <c r="G59" s="91">
        <f t="shared" si="9"/>
        <v>0</v>
      </c>
      <c r="H59" s="31" t="b">
        <f>+AND(MONTH(A59)=MONTH('Inicial - Resumo'!K$13),YEAR(A59)=YEAR('Inicial - Resumo'!K$13),G$250)</f>
        <v>0</v>
      </c>
      <c r="I59" s="106"/>
    </row>
    <row r="60" spans="1:9" s="30" customFormat="1" ht="12" customHeight="1">
      <c r="A60" s="90">
        <f t="shared" si="10"/>
        <v>40620.5</v>
      </c>
      <c r="B60" s="91">
        <f t="shared" si="11"/>
        <v>0</v>
      </c>
      <c r="C60" s="96"/>
      <c r="D60" s="97"/>
      <c r="E60" s="98"/>
      <c r="F60" s="69">
        <v>0.006</v>
      </c>
      <c r="G60" s="91">
        <f t="shared" si="9"/>
        <v>0</v>
      </c>
      <c r="H60" s="31" t="b">
        <f>+AND(MONTH(A60)=MONTH('Inicial - Resumo'!K$13),YEAR(A60)=YEAR('Inicial - Resumo'!K$13),G$250)</f>
        <v>0</v>
      </c>
      <c r="I60" s="106"/>
    </row>
    <row r="61" spans="1:9" s="30" customFormat="1" ht="12" customHeight="1">
      <c r="A61" s="90">
        <f t="shared" si="10"/>
        <v>40651</v>
      </c>
      <c r="B61" s="91">
        <f t="shared" si="11"/>
        <v>0</v>
      </c>
      <c r="C61" s="96"/>
      <c r="D61" s="97"/>
      <c r="E61" s="98"/>
      <c r="F61" s="69">
        <v>0.0077</v>
      </c>
      <c r="G61" s="91">
        <f t="shared" si="9"/>
        <v>0</v>
      </c>
      <c r="H61" s="31" t="b">
        <f>+AND(MONTH(A61)=MONTH('Inicial - Resumo'!K$13),YEAR(A61)=YEAR('Inicial - Resumo'!K$13),G$250)</f>
        <v>0</v>
      </c>
      <c r="I61" s="106"/>
    </row>
    <row r="62" spans="1:9" s="30" customFormat="1" ht="12" customHeight="1">
      <c r="A62" s="90">
        <f t="shared" si="10"/>
        <v>40681.5</v>
      </c>
      <c r="B62" s="91">
        <f t="shared" si="11"/>
        <v>0</v>
      </c>
      <c r="C62" s="96"/>
      <c r="D62" s="97"/>
      <c r="E62" s="98"/>
      <c r="F62" s="69">
        <v>0.007</v>
      </c>
      <c r="G62" s="91">
        <f t="shared" si="9"/>
        <v>0</v>
      </c>
      <c r="H62" s="31" t="b">
        <f>+AND(MONTH(A62)=MONTH('Inicial - Resumo'!K$13),YEAR(A62)=YEAR('Inicial - Resumo'!K$13),G$250)</f>
        <v>0</v>
      </c>
      <c r="I62" s="106"/>
    </row>
    <row r="63" spans="1:9" s="30" customFormat="1" ht="12" customHeight="1">
      <c r="A63" s="90">
        <f t="shared" si="10"/>
        <v>40712</v>
      </c>
      <c r="B63" s="91">
        <f t="shared" si="11"/>
        <v>0</v>
      </c>
      <c r="C63" s="96"/>
      <c r="D63" s="97"/>
      <c r="E63" s="98"/>
      <c r="F63" s="69">
        <v>0.0023</v>
      </c>
      <c r="G63" s="91">
        <f t="shared" si="9"/>
        <v>0</v>
      </c>
      <c r="H63" s="31" t="b">
        <f>+AND(MONTH(A63)=MONTH('Inicial - Resumo'!K$13),YEAR(A63)=YEAR('Inicial - Resumo'!K$13),G$250)</f>
        <v>0</v>
      </c>
      <c r="I63" s="106"/>
    </row>
    <row r="64" spans="1:9" s="30" customFormat="1" ht="12" customHeight="1">
      <c r="A64" s="90">
        <f t="shared" si="10"/>
        <v>40742.5</v>
      </c>
      <c r="B64" s="91">
        <f t="shared" si="11"/>
        <v>0</v>
      </c>
      <c r="C64" s="96"/>
      <c r="D64" s="97"/>
      <c r="E64" s="98"/>
      <c r="F64" s="69">
        <v>0.001</v>
      </c>
      <c r="G64" s="91">
        <f t="shared" si="9"/>
        <v>0</v>
      </c>
      <c r="H64" s="31" t="b">
        <f>+AND(MONTH(A64)=MONTH('Inicial - Resumo'!K$13),YEAR(A64)=YEAR('Inicial - Resumo'!K$13),G$250)</f>
        <v>0</v>
      </c>
      <c r="I64" s="106"/>
    </row>
    <row r="65" spans="1:9" s="30" customFormat="1" ht="12" customHeight="1">
      <c r="A65" s="90">
        <f t="shared" si="10"/>
        <v>40773</v>
      </c>
      <c r="B65" s="91">
        <f t="shared" si="11"/>
        <v>0</v>
      </c>
      <c r="C65" s="96"/>
      <c r="D65" s="97"/>
      <c r="E65" s="98"/>
      <c r="F65" s="69">
        <v>0.0027</v>
      </c>
      <c r="G65" s="91">
        <f t="shared" si="9"/>
        <v>0</v>
      </c>
      <c r="H65" s="31" t="b">
        <f>+AND(MONTH(A65)=MONTH('Inicial - Resumo'!K$13),YEAR(A65)=YEAR('Inicial - Resumo'!K$13),G$250)</f>
        <v>0</v>
      </c>
      <c r="I65" s="106"/>
    </row>
    <row r="66" spans="1:9" s="30" customFormat="1" ht="12" customHeight="1">
      <c r="A66" s="90">
        <f t="shared" si="10"/>
        <v>40803.5</v>
      </c>
      <c r="B66" s="91">
        <f t="shared" si="11"/>
        <v>0</v>
      </c>
      <c r="C66" s="96"/>
      <c r="D66" s="97"/>
      <c r="E66" s="98"/>
      <c r="F66" s="69">
        <v>0.0053</v>
      </c>
      <c r="G66" s="91">
        <f t="shared" si="9"/>
        <v>0</v>
      </c>
      <c r="H66" s="31" t="b">
        <f>+AND(MONTH(A66)=MONTH('Inicial - Resumo'!K$13),YEAR(A66)=YEAR('Inicial - Resumo'!K$13),G$250)</f>
        <v>0</v>
      </c>
      <c r="I66" s="106"/>
    </row>
    <row r="67" spans="1:9" s="30" customFormat="1" ht="12" customHeight="1">
      <c r="A67" s="90">
        <f t="shared" si="10"/>
        <v>40834</v>
      </c>
      <c r="B67" s="91">
        <f t="shared" si="11"/>
        <v>0</v>
      </c>
      <c r="C67" s="96"/>
      <c r="D67" s="97"/>
      <c r="E67" s="98"/>
      <c r="F67" s="69">
        <v>0.004200000000000001</v>
      </c>
      <c r="G67" s="91">
        <f t="shared" si="9"/>
        <v>0</v>
      </c>
      <c r="H67" s="31" t="b">
        <f>+AND(MONTH(A67)=MONTH('Inicial - Resumo'!K$13),YEAR(A67)=YEAR('Inicial - Resumo'!K$13),G$250)</f>
        <v>0</v>
      </c>
      <c r="I67" s="106"/>
    </row>
    <row r="68" spans="1:9" s="30" customFormat="1" ht="12" customHeight="1">
      <c r="A68" s="90">
        <f t="shared" si="10"/>
        <v>40864.5</v>
      </c>
      <c r="B68" s="91">
        <f t="shared" si="11"/>
        <v>0</v>
      </c>
      <c r="C68" s="99"/>
      <c r="D68" s="100"/>
      <c r="E68" s="101"/>
      <c r="F68" s="69">
        <v>0.0046</v>
      </c>
      <c r="G68" s="91">
        <f t="shared" si="9"/>
        <v>0</v>
      </c>
      <c r="H68" s="31" t="b">
        <f>+AND(MONTH(A68)=MONTH('Inicial - Resumo'!K$13),YEAR(A68)=YEAR('Inicial - Resumo'!K$13),G$250)</f>
        <v>0</v>
      </c>
      <c r="I68" s="106"/>
    </row>
    <row r="69" spans="1:9" s="30" customFormat="1" ht="12" customHeight="1">
      <c r="A69" s="90">
        <f t="shared" si="10"/>
        <v>40895</v>
      </c>
      <c r="B69" s="91">
        <f t="shared" si="11"/>
        <v>0</v>
      </c>
      <c r="C69" s="102">
        <v>0</v>
      </c>
      <c r="D69" s="103">
        <f>+MIN(B69,C69)</f>
        <v>0</v>
      </c>
      <c r="E69" s="91">
        <f>+B69-D69</f>
        <v>0</v>
      </c>
      <c r="F69" s="104"/>
      <c r="G69" s="105"/>
      <c r="H69" s="31" t="b">
        <f>+AND(MONTH(A69)=MONTH('Inicial - Resumo'!K$13),YEAR(A69)=YEAR('Inicial - Resumo'!K$13),G$250)</f>
        <v>0</v>
      </c>
      <c r="I69" s="106"/>
    </row>
    <row r="70" spans="1:9" s="30" customFormat="1" ht="12" customHeight="1">
      <c r="A70" s="52" t="s">
        <v>78</v>
      </c>
      <c r="B70" s="91">
        <f>+E69</f>
        <v>0</v>
      </c>
      <c r="C70" s="102">
        <v>0</v>
      </c>
      <c r="D70" s="103">
        <f>+MIN(B70,C70)</f>
        <v>0</v>
      </c>
      <c r="E70" s="91">
        <f>+B70-D70</f>
        <v>0</v>
      </c>
      <c r="F70" s="69">
        <v>0.0056</v>
      </c>
      <c r="G70" s="91">
        <f>+E70*(1+F70)</f>
        <v>0</v>
      </c>
      <c r="H70" s="95"/>
      <c r="I70" s="106"/>
    </row>
    <row r="71" spans="1:9" s="30" customFormat="1" ht="11.25" customHeight="1">
      <c r="A71" s="107"/>
      <c r="B71" s="108"/>
      <c r="C71" s="108"/>
      <c r="D71" s="109"/>
      <c r="E71" s="108"/>
      <c r="F71" s="110"/>
      <c r="G71" s="108"/>
      <c r="H71" s="95"/>
      <c r="I71" s="106"/>
    </row>
    <row r="72" spans="1:9" s="31" customFormat="1" ht="24" customHeight="1">
      <c r="A72" s="84">
        <v>2012</v>
      </c>
      <c r="B72" s="85" t="s">
        <v>72</v>
      </c>
      <c r="C72" s="85" t="s">
        <v>73</v>
      </c>
      <c r="D72" s="85" t="s">
        <v>74</v>
      </c>
      <c r="E72" s="85" t="s">
        <v>79</v>
      </c>
      <c r="F72" s="86" t="s">
        <v>76</v>
      </c>
      <c r="G72" s="87" t="s">
        <v>77</v>
      </c>
      <c r="H72" s="88">
        <f>+'Inicial - Resumo'!L80</f>
        <v>0</v>
      </c>
      <c r="I72" s="89"/>
    </row>
    <row r="73" spans="1:9" s="30" customFormat="1" ht="12" customHeight="1">
      <c r="A73" s="90">
        <f>+A69+30.5</f>
        <v>40925.5</v>
      </c>
      <c r="B73" s="91">
        <f>+IF(AND(H$12,H73),H$10,G70)</f>
        <v>0</v>
      </c>
      <c r="C73" s="92"/>
      <c r="D73" s="93"/>
      <c r="E73" s="94"/>
      <c r="F73" s="69">
        <v>0.006500000000000001</v>
      </c>
      <c r="G73" s="91">
        <f aca="true" t="shared" si="12" ref="G73:G83">+B73*(1+F73)</f>
        <v>0</v>
      </c>
      <c r="H73" s="31" t="b">
        <f>+AND(MONTH(A73)=MONTH('Inicial - Resumo'!K$13),YEAR(A73)=YEAR('Inicial - Resumo'!K$13),G$250)</f>
        <v>0</v>
      </c>
      <c r="I73" s="106"/>
    </row>
    <row r="74" spans="1:9" s="30" customFormat="1" ht="12" customHeight="1">
      <c r="A74" s="90">
        <f aca="true" t="shared" si="13" ref="A74:A84">+A73+30.5</f>
        <v>40956</v>
      </c>
      <c r="B74" s="91">
        <f aca="true" t="shared" si="14" ref="B74:B84">+IF(AND(H$12,H74),H$10,G73)</f>
        <v>0</v>
      </c>
      <c r="C74" s="96"/>
      <c r="D74" s="97"/>
      <c r="E74" s="98"/>
      <c r="F74" s="69">
        <v>0.0053</v>
      </c>
      <c r="G74" s="91">
        <f t="shared" si="12"/>
        <v>0</v>
      </c>
      <c r="H74" s="31" t="b">
        <f>+AND(MONTH(A74)=MONTH('Inicial - Resumo'!K$13),YEAR(A74)=YEAR('Inicial - Resumo'!K$13),G$250)</f>
        <v>0</v>
      </c>
      <c r="I74" s="106"/>
    </row>
    <row r="75" spans="1:9" s="30" customFormat="1" ht="12" customHeight="1">
      <c r="A75" s="90">
        <f t="shared" si="13"/>
        <v>40986.5</v>
      </c>
      <c r="B75" s="91">
        <f t="shared" si="14"/>
        <v>0</v>
      </c>
      <c r="C75" s="96"/>
      <c r="D75" s="97"/>
      <c r="E75" s="98"/>
      <c r="F75" s="69">
        <v>0.0025</v>
      </c>
      <c r="G75" s="91">
        <f t="shared" si="12"/>
        <v>0</v>
      </c>
      <c r="H75" s="31" t="b">
        <f>+AND(MONTH(A75)=MONTH('Inicial - Resumo'!K$13),YEAR(A75)=YEAR('Inicial - Resumo'!K$13),G$250)</f>
        <v>0</v>
      </c>
      <c r="I75" s="106"/>
    </row>
    <row r="76" spans="1:9" s="30" customFormat="1" ht="12" customHeight="1">
      <c r="A76" s="90">
        <f t="shared" si="13"/>
        <v>41017</v>
      </c>
      <c r="B76" s="91">
        <f t="shared" si="14"/>
        <v>0</v>
      </c>
      <c r="C76" s="96"/>
      <c r="D76" s="97"/>
      <c r="E76" s="98"/>
      <c r="F76" s="69">
        <v>0.0043</v>
      </c>
      <c r="G76" s="91">
        <f t="shared" si="12"/>
        <v>0</v>
      </c>
      <c r="H76" s="31" t="b">
        <f>+AND(MONTH(A76)=MONTH('Inicial - Resumo'!K$13),YEAR(A76)=YEAR('Inicial - Resumo'!K$13),G$250)</f>
        <v>0</v>
      </c>
      <c r="I76" s="106"/>
    </row>
    <row r="77" spans="1:9" s="30" customFormat="1" ht="12" customHeight="1">
      <c r="A77" s="90">
        <f t="shared" si="13"/>
        <v>41047.5</v>
      </c>
      <c r="B77" s="91">
        <f t="shared" si="14"/>
        <v>0</v>
      </c>
      <c r="C77" s="96"/>
      <c r="D77" s="97"/>
      <c r="E77" s="98"/>
      <c r="F77" s="69">
        <v>0.0051</v>
      </c>
      <c r="G77" s="91">
        <f t="shared" si="12"/>
        <v>0</v>
      </c>
      <c r="H77" s="31" t="b">
        <f>+AND(MONTH(A77)=MONTH('Inicial - Resumo'!K$13),YEAR(A77)=YEAR('Inicial - Resumo'!K$13),G$250)</f>
        <v>0</v>
      </c>
      <c r="I77" s="106"/>
    </row>
    <row r="78" spans="1:9" s="30" customFormat="1" ht="12" customHeight="1">
      <c r="A78" s="90">
        <f t="shared" si="13"/>
        <v>41078</v>
      </c>
      <c r="B78" s="91">
        <f t="shared" si="14"/>
        <v>0</v>
      </c>
      <c r="C78" s="96"/>
      <c r="D78" s="97"/>
      <c r="E78" s="98"/>
      <c r="F78" s="69">
        <v>0.0018000000000000002</v>
      </c>
      <c r="G78" s="91">
        <f t="shared" si="12"/>
        <v>0</v>
      </c>
      <c r="H78" s="31" t="b">
        <f>+AND(MONTH(A78)=MONTH('Inicial - Resumo'!K$13),YEAR(A78)=YEAR('Inicial - Resumo'!K$13),G$250)</f>
        <v>0</v>
      </c>
      <c r="I78" s="106"/>
    </row>
    <row r="79" spans="1:9" s="30" customFormat="1" ht="12" customHeight="1">
      <c r="A79" s="90">
        <f t="shared" si="13"/>
        <v>41108.5</v>
      </c>
      <c r="B79" s="91">
        <f t="shared" si="14"/>
        <v>0</v>
      </c>
      <c r="C79" s="96"/>
      <c r="D79" s="97"/>
      <c r="E79" s="98"/>
      <c r="F79" s="69">
        <v>0.0033</v>
      </c>
      <c r="G79" s="91">
        <f t="shared" si="12"/>
        <v>0</v>
      </c>
      <c r="H79" s="31" t="b">
        <f>+AND(MONTH(A79)=MONTH('Inicial - Resumo'!K$13),YEAR(A79)=YEAR('Inicial - Resumo'!K$13),G$250)</f>
        <v>0</v>
      </c>
      <c r="I79" s="106"/>
    </row>
    <row r="80" spans="1:9" s="30" customFormat="1" ht="12" customHeight="1">
      <c r="A80" s="90">
        <f t="shared" si="13"/>
        <v>41139</v>
      </c>
      <c r="B80" s="91">
        <f t="shared" si="14"/>
        <v>0</v>
      </c>
      <c r="C80" s="96"/>
      <c r="D80" s="97"/>
      <c r="E80" s="98"/>
      <c r="F80" s="69">
        <v>0.0039000000000000003</v>
      </c>
      <c r="G80" s="91">
        <f t="shared" si="12"/>
        <v>0</v>
      </c>
      <c r="H80" s="31" t="b">
        <f>+AND(MONTH(A80)=MONTH('Inicial - Resumo'!K$13),YEAR(A80)=YEAR('Inicial - Resumo'!K$13),G$250)</f>
        <v>0</v>
      </c>
      <c r="I80" s="106"/>
    </row>
    <row r="81" spans="1:9" s="30" customFormat="1" ht="12" customHeight="1">
      <c r="A81" s="90">
        <f t="shared" si="13"/>
        <v>41169.5</v>
      </c>
      <c r="B81" s="91">
        <f t="shared" si="14"/>
        <v>0</v>
      </c>
      <c r="C81" s="96"/>
      <c r="D81" s="97"/>
      <c r="E81" s="98"/>
      <c r="F81" s="69">
        <v>0.0048000000000000004</v>
      </c>
      <c r="G81" s="91">
        <f t="shared" si="12"/>
        <v>0</v>
      </c>
      <c r="H81" s="31" t="b">
        <f>+AND(MONTH(A81)=MONTH('Inicial - Resumo'!K$13),YEAR(A81)=YEAR('Inicial - Resumo'!K$13),G$250)</f>
        <v>0</v>
      </c>
      <c r="I81" s="106"/>
    </row>
    <row r="82" spans="1:9" s="30" customFormat="1" ht="12" customHeight="1">
      <c r="A82" s="90">
        <f t="shared" si="13"/>
        <v>41200</v>
      </c>
      <c r="B82" s="91">
        <f t="shared" si="14"/>
        <v>0</v>
      </c>
      <c r="C82" s="96"/>
      <c r="D82" s="97"/>
      <c r="E82" s="98"/>
      <c r="F82" s="69">
        <v>0.006500000000000001</v>
      </c>
      <c r="G82" s="91">
        <f t="shared" si="12"/>
        <v>0</v>
      </c>
      <c r="H82" s="31" t="b">
        <f>+AND(MONTH(A82)=MONTH('Inicial - Resumo'!K$13),YEAR(A82)=YEAR('Inicial - Resumo'!K$13),G$250)</f>
        <v>0</v>
      </c>
      <c r="I82" s="106"/>
    </row>
    <row r="83" spans="1:9" s="30" customFormat="1" ht="12" customHeight="1">
      <c r="A83" s="90">
        <f t="shared" si="13"/>
        <v>41230.5</v>
      </c>
      <c r="B83" s="91">
        <f t="shared" si="14"/>
        <v>0</v>
      </c>
      <c r="C83" s="99"/>
      <c r="D83" s="100"/>
      <c r="E83" s="101"/>
      <c r="F83" s="69">
        <v>0.0054</v>
      </c>
      <c r="G83" s="91">
        <f t="shared" si="12"/>
        <v>0</v>
      </c>
      <c r="H83" s="31" t="b">
        <f>+AND(MONTH(A83)=MONTH('Inicial - Resumo'!K$13),YEAR(A83)=YEAR('Inicial - Resumo'!K$13),G$250)</f>
        <v>0</v>
      </c>
      <c r="I83" s="106"/>
    </row>
    <row r="84" spans="1:9" s="30" customFormat="1" ht="12" customHeight="1">
      <c r="A84" s="90">
        <f t="shared" si="13"/>
        <v>41261</v>
      </c>
      <c r="B84" s="91">
        <f t="shared" si="14"/>
        <v>0</v>
      </c>
      <c r="C84" s="102">
        <v>0</v>
      </c>
      <c r="D84" s="103">
        <f>+MIN(B84,C84)</f>
        <v>0</v>
      </c>
      <c r="E84" s="91">
        <f>+B84-D84</f>
        <v>0</v>
      </c>
      <c r="F84" s="104"/>
      <c r="G84" s="105"/>
      <c r="H84" s="31" t="b">
        <f>+AND(MONTH(A84)=MONTH('Inicial - Resumo'!K$13),YEAR(A84)=YEAR('Inicial - Resumo'!K$13),G$250)</f>
        <v>0</v>
      </c>
      <c r="I84" s="106"/>
    </row>
    <row r="85" spans="1:9" s="30" customFormat="1" ht="12" customHeight="1">
      <c r="A85" s="52" t="s">
        <v>78</v>
      </c>
      <c r="B85" s="91">
        <f>+E84</f>
        <v>0</v>
      </c>
      <c r="C85" s="102">
        <v>0</v>
      </c>
      <c r="D85" s="103">
        <f>+MIN(B85,C85)</f>
        <v>0</v>
      </c>
      <c r="E85" s="91">
        <f>+B85-D85</f>
        <v>0</v>
      </c>
      <c r="F85" s="69">
        <v>0.006900000000000001</v>
      </c>
      <c r="G85" s="91">
        <f>+E85*(1+F85)</f>
        <v>0</v>
      </c>
      <c r="H85" s="95"/>
      <c r="I85" s="106"/>
    </row>
    <row r="86" spans="1:8" s="83" customFormat="1" ht="11.25" customHeight="1">
      <c r="A86" s="31"/>
      <c r="B86" s="46"/>
      <c r="C86" s="47"/>
      <c r="D86" s="81"/>
      <c r="E86" s="31"/>
      <c r="F86" s="31"/>
      <c r="G86" s="47"/>
      <c r="H86" s="31"/>
    </row>
    <row r="87" spans="1:7" ht="25.5" customHeight="1">
      <c r="A87" s="116">
        <v>2013</v>
      </c>
      <c r="B87" s="85" t="s">
        <v>72</v>
      </c>
      <c r="C87" s="85" t="s">
        <v>73</v>
      </c>
      <c r="D87" s="85" t="s">
        <v>74</v>
      </c>
      <c r="E87" s="85" t="s">
        <v>79</v>
      </c>
      <c r="F87" s="86" t="s">
        <v>76</v>
      </c>
      <c r="G87" s="87" t="s">
        <v>77</v>
      </c>
    </row>
    <row r="88" spans="1:7" ht="12" customHeight="1">
      <c r="A88" s="90">
        <f>+A84+30.5</f>
        <v>41291.5</v>
      </c>
      <c r="B88" s="117">
        <f>+G85</f>
        <v>0</v>
      </c>
      <c r="C88" s="102">
        <v>0</v>
      </c>
      <c r="D88" s="118">
        <f aca="true" t="shared" si="15" ref="D88:D99">IF(C88="","",MIN(B88,C88))</f>
        <v>0</v>
      </c>
      <c r="E88" s="91">
        <f aca="true" t="shared" si="16" ref="E88:E99">+B88-D88</f>
        <v>0</v>
      </c>
      <c r="F88" s="69">
        <v>0.0088</v>
      </c>
      <c r="G88" s="119">
        <f aca="true" t="shared" si="17" ref="G88:G98">+E88*(1+F88)</f>
        <v>0</v>
      </c>
    </row>
    <row r="89" spans="1:7" ht="12" customHeight="1">
      <c r="A89" s="90">
        <f aca="true" t="shared" si="18" ref="A89:A99">+A88+30.5</f>
        <v>41322</v>
      </c>
      <c r="B89" s="120">
        <f aca="true" t="shared" si="19" ref="B89:B99">+G88</f>
        <v>0</v>
      </c>
      <c r="C89" s="102">
        <v>0</v>
      </c>
      <c r="D89" s="118">
        <f t="shared" si="15"/>
        <v>0</v>
      </c>
      <c r="E89" s="91">
        <f t="shared" si="16"/>
        <v>0</v>
      </c>
      <c r="F89" s="69">
        <v>0.0068000000000000005</v>
      </c>
      <c r="G89" s="119">
        <f t="shared" si="17"/>
        <v>0</v>
      </c>
    </row>
    <row r="90" spans="1:7" ht="12" customHeight="1">
      <c r="A90" s="90">
        <f t="shared" si="18"/>
        <v>41352.5</v>
      </c>
      <c r="B90" s="120">
        <f t="shared" si="19"/>
        <v>0</v>
      </c>
      <c r="C90" s="102">
        <v>0</v>
      </c>
      <c r="D90" s="118">
        <f t="shared" si="15"/>
        <v>0</v>
      </c>
      <c r="E90" s="91">
        <f t="shared" si="16"/>
        <v>0</v>
      </c>
      <c r="F90" s="69">
        <v>0.0049</v>
      </c>
      <c r="G90" s="119">
        <f t="shared" si="17"/>
        <v>0</v>
      </c>
    </row>
    <row r="91" spans="1:7" ht="12" customHeight="1">
      <c r="A91" s="90">
        <f t="shared" si="18"/>
        <v>41383</v>
      </c>
      <c r="B91" s="120">
        <f t="shared" si="19"/>
        <v>0</v>
      </c>
      <c r="C91" s="102">
        <v>0</v>
      </c>
      <c r="D91" s="118">
        <f t="shared" si="15"/>
        <v>0</v>
      </c>
      <c r="E91" s="91">
        <f t="shared" si="16"/>
        <v>0</v>
      </c>
      <c r="F91" s="69">
        <v>0.0051</v>
      </c>
      <c r="G91" s="119">
        <f t="shared" si="17"/>
        <v>0</v>
      </c>
    </row>
    <row r="92" spans="1:7" ht="12" customHeight="1">
      <c r="A92" s="90">
        <f t="shared" si="18"/>
        <v>41413.5</v>
      </c>
      <c r="B92" s="120">
        <f t="shared" si="19"/>
        <v>0</v>
      </c>
      <c r="C92" s="102">
        <v>0</v>
      </c>
      <c r="D92" s="118">
        <f t="shared" si="15"/>
        <v>0</v>
      </c>
      <c r="E92" s="91">
        <f t="shared" si="16"/>
        <v>0</v>
      </c>
      <c r="F92" s="69">
        <v>0</v>
      </c>
      <c r="G92" s="119">
        <f t="shared" si="17"/>
        <v>0</v>
      </c>
    </row>
    <row r="93" spans="1:7" ht="12" customHeight="1">
      <c r="A93" s="90">
        <f t="shared" si="18"/>
        <v>41444</v>
      </c>
      <c r="B93" s="120">
        <f t="shared" si="19"/>
        <v>0</v>
      </c>
      <c r="C93" s="102">
        <v>0</v>
      </c>
      <c r="D93" s="118">
        <f t="shared" si="15"/>
        <v>0</v>
      </c>
      <c r="E93" s="91">
        <f t="shared" si="16"/>
        <v>0</v>
      </c>
      <c r="F93" s="69">
        <v>0</v>
      </c>
      <c r="G93" s="119">
        <f t="shared" si="17"/>
        <v>0</v>
      </c>
    </row>
    <row r="94" spans="1:7" ht="12" customHeight="1">
      <c r="A94" s="90">
        <f t="shared" si="18"/>
        <v>41474.5</v>
      </c>
      <c r="B94" s="120">
        <f t="shared" si="19"/>
        <v>0</v>
      </c>
      <c r="C94" s="102">
        <v>0</v>
      </c>
      <c r="D94" s="118">
        <f t="shared" si="15"/>
        <v>0</v>
      </c>
      <c r="E94" s="91">
        <f t="shared" si="16"/>
        <v>0</v>
      </c>
      <c r="F94" s="69">
        <v>0</v>
      </c>
      <c r="G94" s="119">
        <f t="shared" si="17"/>
        <v>0</v>
      </c>
    </row>
    <row r="95" spans="1:7" ht="12" customHeight="1">
      <c r="A95" s="90">
        <f t="shared" si="18"/>
        <v>41505</v>
      </c>
      <c r="B95" s="120">
        <f t="shared" si="19"/>
        <v>0</v>
      </c>
      <c r="C95" s="102">
        <v>0</v>
      </c>
      <c r="D95" s="118">
        <f t="shared" si="15"/>
        <v>0</v>
      </c>
      <c r="E95" s="91">
        <f t="shared" si="16"/>
        <v>0</v>
      </c>
      <c r="F95" s="69">
        <v>0</v>
      </c>
      <c r="G95" s="119">
        <f t="shared" si="17"/>
        <v>0</v>
      </c>
    </row>
    <row r="96" spans="1:7" ht="12" customHeight="1">
      <c r="A96" s="90">
        <f t="shared" si="18"/>
        <v>41535.5</v>
      </c>
      <c r="B96" s="120">
        <f t="shared" si="19"/>
        <v>0</v>
      </c>
      <c r="C96" s="102">
        <v>0</v>
      </c>
      <c r="D96" s="118">
        <f t="shared" si="15"/>
        <v>0</v>
      </c>
      <c r="E96" s="91">
        <f t="shared" si="16"/>
        <v>0</v>
      </c>
      <c r="F96" s="69">
        <v>0</v>
      </c>
      <c r="G96" s="119">
        <f t="shared" si="17"/>
        <v>0</v>
      </c>
    </row>
    <row r="97" spans="1:7" ht="12" customHeight="1">
      <c r="A97" s="90">
        <f t="shared" si="18"/>
        <v>41566</v>
      </c>
      <c r="B97" s="120">
        <f t="shared" si="19"/>
        <v>0</v>
      </c>
      <c r="C97" s="102">
        <v>0</v>
      </c>
      <c r="D97" s="118">
        <f t="shared" si="15"/>
        <v>0</v>
      </c>
      <c r="E97" s="91">
        <f t="shared" si="16"/>
        <v>0</v>
      </c>
      <c r="F97" s="69">
        <v>0</v>
      </c>
      <c r="G97" s="119">
        <f t="shared" si="17"/>
        <v>0</v>
      </c>
    </row>
    <row r="98" spans="1:7" ht="12" customHeight="1">
      <c r="A98" s="90">
        <f t="shared" si="18"/>
        <v>41596.5</v>
      </c>
      <c r="B98" s="120">
        <f t="shared" si="19"/>
        <v>0</v>
      </c>
      <c r="C98" s="102">
        <v>0</v>
      </c>
      <c r="D98" s="118">
        <f t="shared" si="15"/>
        <v>0</v>
      </c>
      <c r="E98" s="91">
        <f t="shared" si="16"/>
        <v>0</v>
      </c>
      <c r="F98" s="69">
        <v>0</v>
      </c>
      <c r="G98" s="119">
        <f t="shared" si="17"/>
        <v>0</v>
      </c>
    </row>
    <row r="99" spans="1:7" ht="12" customHeight="1">
      <c r="A99" s="90">
        <f t="shared" si="18"/>
        <v>41627</v>
      </c>
      <c r="B99" s="120">
        <f t="shared" si="19"/>
        <v>0</v>
      </c>
      <c r="C99" s="102">
        <v>0</v>
      </c>
      <c r="D99" s="118">
        <f t="shared" si="15"/>
        <v>0</v>
      </c>
      <c r="E99" s="91">
        <f t="shared" si="16"/>
        <v>0</v>
      </c>
      <c r="F99" s="121"/>
      <c r="G99" s="94"/>
    </row>
    <row r="100" spans="1:7" ht="12" customHeight="1">
      <c r="A100" s="211" t="s">
        <v>80</v>
      </c>
      <c r="B100" s="211"/>
      <c r="C100" s="211"/>
      <c r="D100" s="122">
        <f>SUM(D88:D99)</f>
        <v>0</v>
      </c>
      <c r="E100" s="123"/>
      <c r="F100" s="124"/>
      <c r="G100" s="101"/>
    </row>
    <row r="101" spans="1:7" ht="12" customHeight="1">
      <c r="A101" s="125" t="s">
        <v>78</v>
      </c>
      <c r="B101" s="120">
        <f>E99</f>
        <v>0</v>
      </c>
      <c r="C101" s="102">
        <v>0</v>
      </c>
      <c r="D101" s="126">
        <f>IF(C101="","",MIN(B101,C101))</f>
        <v>0</v>
      </c>
      <c r="E101" s="91">
        <f>+B101-D101</f>
        <v>0</v>
      </c>
      <c r="F101" s="69">
        <v>0</v>
      </c>
      <c r="G101" s="91">
        <f>+E101*(1+F101)</f>
        <v>0</v>
      </c>
    </row>
    <row r="102" spans="1:7" ht="11.25" customHeight="1">
      <c r="A102" s="83"/>
      <c r="B102" s="83"/>
      <c r="C102" s="83"/>
      <c r="D102" s="127"/>
      <c r="E102" s="83"/>
      <c r="F102" s="83"/>
      <c r="G102" s="83"/>
    </row>
    <row r="103" spans="1:7" ht="25.5" customHeight="1">
      <c r="A103" s="116">
        <v>2014</v>
      </c>
      <c r="B103" s="85" t="s">
        <v>72</v>
      </c>
      <c r="C103" s="85" t="s">
        <v>73</v>
      </c>
      <c r="D103" s="85" t="s">
        <v>74</v>
      </c>
      <c r="E103" s="85" t="s">
        <v>79</v>
      </c>
      <c r="F103" s="86" t="s">
        <v>76</v>
      </c>
      <c r="G103" s="87" t="s">
        <v>77</v>
      </c>
    </row>
    <row r="104" spans="1:7" ht="12" customHeight="1">
      <c r="A104" s="90">
        <f>+A99+30.5</f>
        <v>41657.5</v>
      </c>
      <c r="B104" s="117">
        <f>+G101</f>
        <v>0</v>
      </c>
      <c r="C104" s="102">
        <v>0</v>
      </c>
      <c r="D104" s="118">
        <f aca="true" t="shared" si="20" ref="D104:D115">IF(C104="","",MIN(B104,C104))</f>
        <v>0</v>
      </c>
      <c r="E104" s="91">
        <f aca="true" t="shared" si="21" ref="E104:E115">+B104-D104</f>
        <v>0</v>
      </c>
      <c r="F104" s="69">
        <v>0</v>
      </c>
      <c r="G104" s="119">
        <f aca="true" t="shared" si="22" ref="G104:G114">+E104*(1+F104)</f>
        <v>0</v>
      </c>
    </row>
    <row r="105" spans="1:7" ht="12" customHeight="1">
      <c r="A105" s="90">
        <f aca="true" t="shared" si="23" ref="A105:A115">+A104+30.5</f>
        <v>41688</v>
      </c>
      <c r="B105" s="120">
        <f aca="true" t="shared" si="24" ref="B105:B115">+G104</f>
        <v>0</v>
      </c>
      <c r="C105" s="102">
        <v>0</v>
      </c>
      <c r="D105" s="118">
        <f t="shared" si="20"/>
        <v>0</v>
      </c>
      <c r="E105" s="91">
        <f t="shared" si="21"/>
        <v>0</v>
      </c>
      <c r="F105" s="69">
        <v>0</v>
      </c>
      <c r="G105" s="119">
        <f t="shared" si="22"/>
        <v>0</v>
      </c>
    </row>
    <row r="106" spans="1:7" ht="12" customHeight="1">
      <c r="A106" s="90">
        <f t="shared" si="23"/>
        <v>41718.5</v>
      </c>
      <c r="B106" s="120">
        <f t="shared" si="24"/>
        <v>0</v>
      </c>
      <c r="C106" s="102">
        <v>0</v>
      </c>
      <c r="D106" s="118">
        <f t="shared" si="20"/>
        <v>0</v>
      </c>
      <c r="E106" s="91">
        <f t="shared" si="21"/>
        <v>0</v>
      </c>
      <c r="F106" s="69">
        <v>0</v>
      </c>
      <c r="G106" s="119">
        <f t="shared" si="22"/>
        <v>0</v>
      </c>
    </row>
    <row r="107" spans="1:7" ht="12" customHeight="1">
      <c r="A107" s="90">
        <f t="shared" si="23"/>
        <v>41749</v>
      </c>
      <c r="B107" s="120">
        <f t="shared" si="24"/>
        <v>0</v>
      </c>
      <c r="C107" s="102">
        <v>0</v>
      </c>
      <c r="D107" s="118">
        <f t="shared" si="20"/>
        <v>0</v>
      </c>
      <c r="E107" s="91">
        <f t="shared" si="21"/>
        <v>0</v>
      </c>
      <c r="F107" s="69">
        <v>0</v>
      </c>
      <c r="G107" s="119">
        <f t="shared" si="22"/>
        <v>0</v>
      </c>
    </row>
    <row r="108" spans="1:7" ht="12" customHeight="1">
      <c r="A108" s="90">
        <f t="shared" si="23"/>
        <v>41779.5</v>
      </c>
      <c r="B108" s="120">
        <f t="shared" si="24"/>
        <v>0</v>
      </c>
      <c r="C108" s="102">
        <v>0</v>
      </c>
      <c r="D108" s="118">
        <f t="shared" si="20"/>
        <v>0</v>
      </c>
      <c r="E108" s="91">
        <f t="shared" si="21"/>
        <v>0</v>
      </c>
      <c r="F108" s="69">
        <v>0</v>
      </c>
      <c r="G108" s="119">
        <f t="shared" si="22"/>
        <v>0</v>
      </c>
    </row>
    <row r="109" spans="1:7" ht="12" customHeight="1">
      <c r="A109" s="90">
        <f t="shared" si="23"/>
        <v>41810</v>
      </c>
      <c r="B109" s="120">
        <f t="shared" si="24"/>
        <v>0</v>
      </c>
      <c r="C109" s="102">
        <v>0</v>
      </c>
      <c r="D109" s="118">
        <f t="shared" si="20"/>
        <v>0</v>
      </c>
      <c r="E109" s="91">
        <f t="shared" si="21"/>
        <v>0</v>
      </c>
      <c r="F109" s="69">
        <v>0</v>
      </c>
      <c r="G109" s="119">
        <f t="shared" si="22"/>
        <v>0</v>
      </c>
    </row>
    <row r="110" spans="1:7" ht="12" customHeight="1">
      <c r="A110" s="90">
        <f t="shared" si="23"/>
        <v>41840.5</v>
      </c>
      <c r="B110" s="120">
        <f t="shared" si="24"/>
        <v>0</v>
      </c>
      <c r="C110" s="102">
        <v>0</v>
      </c>
      <c r="D110" s="118">
        <f t="shared" si="20"/>
        <v>0</v>
      </c>
      <c r="E110" s="91">
        <f t="shared" si="21"/>
        <v>0</v>
      </c>
      <c r="F110" s="69">
        <v>0</v>
      </c>
      <c r="G110" s="119">
        <f t="shared" si="22"/>
        <v>0</v>
      </c>
    </row>
    <row r="111" spans="1:7" ht="12" customHeight="1">
      <c r="A111" s="90">
        <f t="shared" si="23"/>
        <v>41871</v>
      </c>
      <c r="B111" s="120">
        <f t="shared" si="24"/>
        <v>0</v>
      </c>
      <c r="C111" s="102">
        <v>0</v>
      </c>
      <c r="D111" s="118">
        <f t="shared" si="20"/>
        <v>0</v>
      </c>
      <c r="E111" s="91">
        <f t="shared" si="21"/>
        <v>0</v>
      </c>
      <c r="F111" s="69">
        <v>0</v>
      </c>
      <c r="G111" s="119">
        <f t="shared" si="22"/>
        <v>0</v>
      </c>
    </row>
    <row r="112" spans="1:7" ht="12" customHeight="1">
      <c r="A112" s="90">
        <f t="shared" si="23"/>
        <v>41901.5</v>
      </c>
      <c r="B112" s="120">
        <f t="shared" si="24"/>
        <v>0</v>
      </c>
      <c r="C112" s="102">
        <v>0</v>
      </c>
      <c r="D112" s="118">
        <f t="shared" si="20"/>
        <v>0</v>
      </c>
      <c r="E112" s="91">
        <f t="shared" si="21"/>
        <v>0</v>
      </c>
      <c r="F112" s="69">
        <v>0</v>
      </c>
      <c r="G112" s="119">
        <f t="shared" si="22"/>
        <v>0</v>
      </c>
    </row>
    <row r="113" spans="1:7" ht="12" customHeight="1">
      <c r="A113" s="90">
        <f t="shared" si="23"/>
        <v>41932</v>
      </c>
      <c r="B113" s="120">
        <f t="shared" si="24"/>
        <v>0</v>
      </c>
      <c r="C113" s="102">
        <v>0</v>
      </c>
      <c r="D113" s="118">
        <f t="shared" si="20"/>
        <v>0</v>
      </c>
      <c r="E113" s="91">
        <f t="shared" si="21"/>
        <v>0</v>
      </c>
      <c r="F113" s="69">
        <v>0</v>
      </c>
      <c r="G113" s="119">
        <f t="shared" si="22"/>
        <v>0</v>
      </c>
    </row>
    <row r="114" spans="1:7" ht="12" customHeight="1">
      <c r="A114" s="90">
        <f t="shared" si="23"/>
        <v>41962.5</v>
      </c>
      <c r="B114" s="120">
        <f t="shared" si="24"/>
        <v>0</v>
      </c>
      <c r="C114" s="102">
        <v>0</v>
      </c>
      <c r="D114" s="118">
        <f t="shared" si="20"/>
        <v>0</v>
      </c>
      <c r="E114" s="91">
        <f t="shared" si="21"/>
        <v>0</v>
      </c>
      <c r="F114" s="69">
        <v>0</v>
      </c>
      <c r="G114" s="119">
        <f t="shared" si="22"/>
        <v>0</v>
      </c>
    </row>
    <row r="115" spans="1:7" ht="12" customHeight="1">
      <c r="A115" s="90">
        <f t="shared" si="23"/>
        <v>41993</v>
      </c>
      <c r="B115" s="120">
        <f t="shared" si="24"/>
        <v>0</v>
      </c>
      <c r="C115" s="102">
        <v>0</v>
      </c>
      <c r="D115" s="118">
        <f t="shared" si="20"/>
        <v>0</v>
      </c>
      <c r="E115" s="91">
        <f t="shared" si="21"/>
        <v>0</v>
      </c>
      <c r="F115" s="121"/>
      <c r="G115" s="94"/>
    </row>
    <row r="116" spans="1:7" ht="12" customHeight="1">
      <c r="A116" s="211" t="s">
        <v>80</v>
      </c>
      <c r="B116" s="211"/>
      <c r="C116" s="211"/>
      <c r="D116" s="122">
        <f>SUM(D104:D115)</f>
        <v>0</v>
      </c>
      <c r="E116" s="123"/>
      <c r="F116" s="124"/>
      <c r="G116" s="101"/>
    </row>
    <row r="117" spans="1:7" ht="12" customHeight="1">
      <c r="A117" s="125" t="s">
        <v>78</v>
      </c>
      <c r="B117" s="120">
        <f>E115</f>
        <v>0</v>
      </c>
      <c r="C117" s="102">
        <v>0</v>
      </c>
      <c r="D117" s="126">
        <f>IF(C117="","",MIN(B117,C117))</f>
        <v>0</v>
      </c>
      <c r="E117" s="91">
        <f>+B117-D117</f>
        <v>0</v>
      </c>
      <c r="F117" s="69">
        <v>0</v>
      </c>
      <c r="G117" s="91">
        <f>+E117*(1+F117)</f>
        <v>0</v>
      </c>
    </row>
    <row r="118" spans="1:7" ht="11.25" customHeight="1">
      <c r="A118" s="83"/>
      <c r="B118" s="83"/>
      <c r="C118" s="83"/>
      <c r="D118" s="127"/>
      <c r="E118" s="83"/>
      <c r="F118" s="83"/>
      <c r="G118" s="83"/>
    </row>
    <row r="119" spans="1:7" ht="25.5" customHeight="1">
      <c r="A119" s="116">
        <v>2015</v>
      </c>
      <c r="B119" s="85" t="s">
        <v>72</v>
      </c>
      <c r="C119" s="85" t="s">
        <v>73</v>
      </c>
      <c r="D119" s="85" t="s">
        <v>74</v>
      </c>
      <c r="E119" s="85" t="s">
        <v>79</v>
      </c>
      <c r="F119" s="86" t="s">
        <v>76</v>
      </c>
      <c r="G119" s="87" t="s">
        <v>77</v>
      </c>
    </row>
    <row r="120" spans="1:7" ht="12" customHeight="1">
      <c r="A120" s="90">
        <f>+A115+30.5</f>
        <v>42023.5</v>
      </c>
      <c r="B120" s="117">
        <f>+G117</f>
        <v>0</v>
      </c>
      <c r="C120" s="102">
        <v>0</v>
      </c>
      <c r="D120" s="118">
        <f aca="true" t="shared" si="25" ref="D120:D131">IF(C120="","",MIN(B120,C120))</f>
        <v>0</v>
      </c>
      <c r="E120" s="91">
        <f aca="true" t="shared" si="26" ref="E120:E131">+B120-D120</f>
        <v>0</v>
      </c>
      <c r="F120" s="69">
        <v>0</v>
      </c>
      <c r="G120" s="119">
        <f aca="true" t="shared" si="27" ref="G120:G130">+E120*(1+F120)</f>
        <v>0</v>
      </c>
    </row>
    <row r="121" spans="1:7" ht="12" customHeight="1">
      <c r="A121" s="90">
        <f aca="true" t="shared" si="28" ref="A121:A131">+A120+30.5</f>
        <v>42054</v>
      </c>
      <c r="B121" s="120">
        <f aca="true" t="shared" si="29" ref="B121:B131">+G120</f>
        <v>0</v>
      </c>
      <c r="C121" s="102">
        <v>0</v>
      </c>
      <c r="D121" s="118">
        <f t="shared" si="25"/>
        <v>0</v>
      </c>
      <c r="E121" s="91">
        <f t="shared" si="26"/>
        <v>0</v>
      </c>
      <c r="F121" s="69">
        <v>0</v>
      </c>
      <c r="G121" s="119">
        <f t="shared" si="27"/>
        <v>0</v>
      </c>
    </row>
    <row r="122" spans="1:7" ht="12" customHeight="1">
      <c r="A122" s="90">
        <f t="shared" si="28"/>
        <v>42084.5</v>
      </c>
      <c r="B122" s="120">
        <f t="shared" si="29"/>
        <v>0</v>
      </c>
      <c r="C122" s="102">
        <v>0</v>
      </c>
      <c r="D122" s="118">
        <f t="shared" si="25"/>
        <v>0</v>
      </c>
      <c r="E122" s="91">
        <f t="shared" si="26"/>
        <v>0</v>
      </c>
      <c r="F122" s="69">
        <v>0</v>
      </c>
      <c r="G122" s="119">
        <f t="shared" si="27"/>
        <v>0</v>
      </c>
    </row>
    <row r="123" spans="1:7" ht="12" customHeight="1">
      <c r="A123" s="90">
        <f t="shared" si="28"/>
        <v>42115</v>
      </c>
      <c r="B123" s="120">
        <f t="shared" si="29"/>
        <v>0</v>
      </c>
      <c r="C123" s="102">
        <v>0</v>
      </c>
      <c r="D123" s="118">
        <f t="shared" si="25"/>
        <v>0</v>
      </c>
      <c r="E123" s="91">
        <f t="shared" si="26"/>
        <v>0</v>
      </c>
      <c r="F123" s="69">
        <v>0</v>
      </c>
      <c r="G123" s="119">
        <f t="shared" si="27"/>
        <v>0</v>
      </c>
    </row>
    <row r="124" spans="1:7" ht="12" customHeight="1">
      <c r="A124" s="90">
        <f t="shared" si="28"/>
        <v>42145.5</v>
      </c>
      <c r="B124" s="120">
        <f t="shared" si="29"/>
        <v>0</v>
      </c>
      <c r="C124" s="102">
        <v>0</v>
      </c>
      <c r="D124" s="118">
        <f t="shared" si="25"/>
        <v>0</v>
      </c>
      <c r="E124" s="91">
        <f t="shared" si="26"/>
        <v>0</v>
      </c>
      <c r="F124" s="69">
        <v>0</v>
      </c>
      <c r="G124" s="119">
        <f t="shared" si="27"/>
        <v>0</v>
      </c>
    </row>
    <row r="125" spans="1:7" ht="12" customHeight="1">
      <c r="A125" s="90">
        <f t="shared" si="28"/>
        <v>42176</v>
      </c>
      <c r="B125" s="120">
        <f t="shared" si="29"/>
        <v>0</v>
      </c>
      <c r="C125" s="102">
        <v>0</v>
      </c>
      <c r="D125" s="118">
        <f t="shared" si="25"/>
        <v>0</v>
      </c>
      <c r="E125" s="91">
        <f t="shared" si="26"/>
        <v>0</v>
      </c>
      <c r="F125" s="69">
        <v>0</v>
      </c>
      <c r="G125" s="119">
        <f t="shared" si="27"/>
        <v>0</v>
      </c>
    </row>
    <row r="126" spans="1:7" ht="12" customHeight="1">
      <c r="A126" s="90">
        <f t="shared" si="28"/>
        <v>42206.5</v>
      </c>
      <c r="B126" s="120">
        <f t="shared" si="29"/>
        <v>0</v>
      </c>
      <c r="C126" s="102">
        <v>0</v>
      </c>
      <c r="D126" s="118">
        <f t="shared" si="25"/>
        <v>0</v>
      </c>
      <c r="E126" s="91">
        <f t="shared" si="26"/>
        <v>0</v>
      </c>
      <c r="F126" s="69">
        <v>0</v>
      </c>
      <c r="G126" s="119">
        <f t="shared" si="27"/>
        <v>0</v>
      </c>
    </row>
    <row r="127" spans="1:7" ht="12" customHeight="1">
      <c r="A127" s="90">
        <f t="shared" si="28"/>
        <v>42237</v>
      </c>
      <c r="B127" s="120">
        <f t="shared" si="29"/>
        <v>0</v>
      </c>
      <c r="C127" s="102">
        <v>0</v>
      </c>
      <c r="D127" s="118">
        <f t="shared" si="25"/>
        <v>0</v>
      </c>
      <c r="E127" s="91">
        <f t="shared" si="26"/>
        <v>0</v>
      </c>
      <c r="F127" s="69">
        <v>0</v>
      </c>
      <c r="G127" s="119">
        <f t="shared" si="27"/>
        <v>0</v>
      </c>
    </row>
    <row r="128" spans="1:7" ht="12" customHeight="1">
      <c r="A128" s="90">
        <f t="shared" si="28"/>
        <v>42267.5</v>
      </c>
      <c r="B128" s="120">
        <f t="shared" si="29"/>
        <v>0</v>
      </c>
      <c r="C128" s="102">
        <v>0</v>
      </c>
      <c r="D128" s="118">
        <f t="shared" si="25"/>
        <v>0</v>
      </c>
      <c r="E128" s="91">
        <f t="shared" si="26"/>
        <v>0</v>
      </c>
      <c r="F128" s="69">
        <v>0</v>
      </c>
      <c r="G128" s="119">
        <f t="shared" si="27"/>
        <v>0</v>
      </c>
    </row>
    <row r="129" spans="1:7" ht="12" customHeight="1">
      <c r="A129" s="90">
        <f t="shared" si="28"/>
        <v>42298</v>
      </c>
      <c r="B129" s="120">
        <f t="shared" si="29"/>
        <v>0</v>
      </c>
      <c r="C129" s="102">
        <v>0</v>
      </c>
      <c r="D129" s="118">
        <f t="shared" si="25"/>
        <v>0</v>
      </c>
      <c r="E129" s="91">
        <f t="shared" si="26"/>
        <v>0</v>
      </c>
      <c r="F129" s="69">
        <v>0</v>
      </c>
      <c r="G129" s="119">
        <f t="shared" si="27"/>
        <v>0</v>
      </c>
    </row>
    <row r="130" spans="1:7" ht="12" customHeight="1">
      <c r="A130" s="90">
        <f t="shared" si="28"/>
        <v>42328.5</v>
      </c>
      <c r="B130" s="120">
        <f t="shared" si="29"/>
        <v>0</v>
      </c>
      <c r="C130" s="102">
        <v>0</v>
      </c>
      <c r="D130" s="118">
        <f t="shared" si="25"/>
        <v>0</v>
      </c>
      <c r="E130" s="91">
        <f t="shared" si="26"/>
        <v>0</v>
      </c>
      <c r="F130" s="69">
        <v>0</v>
      </c>
      <c r="G130" s="119">
        <f t="shared" si="27"/>
        <v>0</v>
      </c>
    </row>
    <row r="131" spans="1:7" ht="12" customHeight="1">
      <c r="A131" s="90">
        <f t="shared" si="28"/>
        <v>42359</v>
      </c>
      <c r="B131" s="120">
        <f t="shared" si="29"/>
        <v>0</v>
      </c>
      <c r="C131" s="102">
        <v>0</v>
      </c>
      <c r="D131" s="118">
        <f t="shared" si="25"/>
        <v>0</v>
      </c>
      <c r="E131" s="91">
        <f t="shared" si="26"/>
        <v>0</v>
      </c>
      <c r="F131" s="121"/>
      <c r="G131" s="94"/>
    </row>
    <row r="132" spans="1:7" ht="12" customHeight="1">
      <c r="A132" s="211" t="s">
        <v>80</v>
      </c>
      <c r="B132" s="211"/>
      <c r="C132" s="211"/>
      <c r="D132" s="122">
        <f>SUM(D120:D131)</f>
        <v>0</v>
      </c>
      <c r="E132" s="123"/>
      <c r="F132" s="124"/>
      <c r="G132" s="101"/>
    </row>
    <row r="133" spans="1:7" ht="12" customHeight="1">
      <c r="A133" s="125" t="s">
        <v>78</v>
      </c>
      <c r="B133" s="120">
        <f>E131</f>
        <v>0</v>
      </c>
      <c r="C133" s="102">
        <v>0</v>
      </c>
      <c r="D133" s="126">
        <f>IF(C133="","",MIN(B133,C133))</f>
        <v>0</v>
      </c>
      <c r="E133" s="91">
        <f>+B133-D133</f>
        <v>0</v>
      </c>
      <c r="F133" s="69">
        <v>0</v>
      </c>
      <c r="G133" s="91">
        <f>+B133*(1+F133)</f>
        <v>0</v>
      </c>
    </row>
    <row r="65536" ht="13.5" customHeight="1"/>
  </sheetData>
  <sheetProtection sheet="1" objects="1" scenarios="1"/>
  <mergeCells count="15">
    <mergeCell ref="A1:H1"/>
    <mergeCell ref="A2:H2"/>
    <mergeCell ref="A3:B3"/>
    <mergeCell ref="C3:F3"/>
    <mergeCell ref="A4:B4"/>
    <mergeCell ref="C4:F4"/>
    <mergeCell ref="A100:C100"/>
    <mergeCell ref="A116:C116"/>
    <mergeCell ref="A132:C132"/>
    <mergeCell ref="A6:B6"/>
    <mergeCell ref="C6:F6"/>
    <mergeCell ref="A7:B7"/>
    <mergeCell ref="C7:F7"/>
    <mergeCell ref="A9:B9"/>
    <mergeCell ref="C9:F9"/>
  </mergeCells>
  <printOptions/>
  <pageMargins left="0.9840277777777777" right="0.5902777777777778" top="0.6083333333333333" bottom="0.5493055555555556" header="0.5118055555555555" footer="0.5118055555555555"/>
  <pageSetup horizontalDpi="300" verticalDpi="300" orientation="portrait" paperSize="9"/>
  <rowBreaks count="1" manualBreakCount="1">
    <brk id="5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43"/>
  <sheetViews>
    <sheetView zoomScalePageLayoutView="0" workbookViewId="0" topLeftCell="A1">
      <selection activeCell="G9" sqref="G9"/>
    </sheetView>
  </sheetViews>
  <sheetFormatPr defaultColWidth="9.00390625" defaultRowHeight="11.25" customHeight="1"/>
  <cols>
    <col min="1" max="1" width="22.25390625" style="128" customWidth="1"/>
    <col min="2" max="9" width="9.00390625" style="128" customWidth="1"/>
    <col min="10" max="13" width="8.00390625" style="128" customWidth="1"/>
    <col min="14" max="14" width="8.375" style="128" customWidth="1"/>
    <col min="15" max="255" width="9.125" style="128" customWidth="1"/>
    <col min="256" max="16384" width="9.125" style="129" customWidth="1"/>
  </cols>
  <sheetData>
    <row r="1" spans="1:14" ht="19.5">
      <c r="A1" s="215" t="s">
        <v>0</v>
      </c>
      <c r="B1" s="215"/>
      <c r="C1" s="215"/>
      <c r="D1" s="215"/>
      <c r="E1" s="215"/>
      <c r="F1" s="215"/>
      <c r="G1" s="215"/>
      <c r="H1" s="215"/>
      <c r="I1" s="215"/>
      <c r="J1" s="130"/>
      <c r="K1" s="130"/>
      <c r="L1" s="130"/>
      <c r="M1" s="130"/>
      <c r="N1" s="130"/>
    </row>
    <row r="2" spans="1:14" ht="27.75" customHeight="1">
      <c r="A2" s="216" t="s">
        <v>81</v>
      </c>
      <c r="B2" s="216"/>
      <c r="C2" s="216"/>
      <c r="D2" s="216"/>
      <c r="E2" s="216"/>
      <c r="F2" s="216"/>
      <c r="G2" s="216"/>
      <c r="H2" s="216"/>
      <c r="I2" s="216"/>
      <c r="J2" s="131"/>
      <c r="K2" s="131"/>
      <c r="L2" s="131"/>
      <c r="M2" s="131"/>
      <c r="N2" s="131"/>
    </row>
    <row r="3" spans="1:9" ht="13.5" customHeight="1">
      <c r="A3" s="132" t="s">
        <v>19</v>
      </c>
      <c r="B3" s="210">
        <f>+IF(ISBLANK('Inicial - Resumo'!C4),"",'Inicial - Resumo'!C4)</f>
      </c>
      <c r="C3" s="210"/>
      <c r="D3" s="210"/>
      <c r="E3" s="210"/>
      <c r="F3" s="210"/>
      <c r="G3" s="133"/>
      <c r="H3" s="133"/>
      <c r="I3" s="133"/>
    </row>
    <row r="4" spans="1:9" ht="13.5" customHeight="1">
      <c r="A4" s="132" t="s">
        <v>82</v>
      </c>
      <c r="B4" s="210">
        <f>+IF(ISBLANK('Inicial - Resumo'!C5),"",'Inicial - Resumo'!C5)</f>
      </c>
      <c r="C4" s="210"/>
      <c r="D4" s="210"/>
      <c r="E4" s="210"/>
      <c r="F4" s="210"/>
      <c r="G4" s="133"/>
      <c r="H4" s="133"/>
      <c r="I4" s="133"/>
    </row>
    <row r="5" spans="1:9" ht="9" customHeight="1">
      <c r="A5" s="134"/>
      <c r="B5" s="135"/>
      <c r="C5" s="135"/>
      <c r="D5" s="135"/>
      <c r="E5" s="135"/>
      <c r="F5" s="135"/>
      <c r="G5" s="135"/>
      <c r="H5" s="135"/>
      <c r="I5" s="135"/>
    </row>
    <row r="6" spans="1:10" ht="14.25">
      <c r="A6" s="136" t="s">
        <v>55</v>
      </c>
      <c r="B6" s="137" t="str">
        <f>+'Inicial - Resumo'!A31</f>
        <v>Nome do Responsável</v>
      </c>
      <c r="C6" s="137"/>
      <c r="D6" s="137"/>
      <c r="E6" s="136"/>
      <c r="F6" s="138" t="str">
        <f>+'Inicial - Resumo'!A32</f>
        <v>Identificação do Responsável</v>
      </c>
      <c r="G6" s="139"/>
      <c r="H6" s="140"/>
      <c r="I6" s="140"/>
      <c r="J6" s="141"/>
    </row>
    <row r="7" spans="1:255" ht="15" customHeight="1">
      <c r="A7" s="217" t="s">
        <v>83</v>
      </c>
      <c r="B7" s="217"/>
      <c r="C7" s="217"/>
      <c r="D7" s="217"/>
      <c r="E7" s="217"/>
      <c r="F7" s="217"/>
      <c r="G7" s="217"/>
      <c r="H7" s="217"/>
      <c r="I7" s="217"/>
      <c r="IQ7" s="129"/>
      <c r="IR7" s="129"/>
      <c r="IS7" s="129"/>
      <c r="IT7" s="129"/>
      <c r="IU7" s="129"/>
    </row>
    <row r="8" spans="1:255" ht="12.75" customHeight="1">
      <c r="A8" s="142" t="s">
        <v>84</v>
      </c>
      <c r="B8" s="143" t="s">
        <v>85</v>
      </c>
      <c r="C8" s="143" t="s">
        <v>86</v>
      </c>
      <c r="D8" s="144" t="s">
        <v>87</v>
      </c>
      <c r="E8" s="145" t="s">
        <v>88</v>
      </c>
      <c r="F8" s="145" t="s">
        <v>89</v>
      </c>
      <c r="G8" s="145" t="s">
        <v>90</v>
      </c>
      <c r="H8" s="145" t="s">
        <v>91</v>
      </c>
      <c r="I8" s="143" t="s">
        <v>92</v>
      </c>
      <c r="IQ8" s="129"/>
      <c r="IR8" s="129"/>
      <c r="IS8" s="129"/>
      <c r="IT8" s="129"/>
      <c r="IU8" s="129"/>
    </row>
    <row r="9" spans="1:9" ht="12.75" customHeight="1">
      <c r="A9" s="146" t="s">
        <v>93</v>
      </c>
      <c r="B9" s="147">
        <v>0</v>
      </c>
      <c r="C9" s="147">
        <v>0</v>
      </c>
      <c r="D9" s="147">
        <v>0</v>
      </c>
      <c r="E9" s="148">
        <v>0</v>
      </c>
      <c r="F9" s="148">
        <v>0</v>
      </c>
      <c r="G9" s="148">
        <v>0</v>
      </c>
      <c r="H9" s="148">
        <v>0</v>
      </c>
      <c r="I9" s="148">
        <v>0</v>
      </c>
    </row>
    <row r="10" spans="1:255" ht="12.75" customHeight="1">
      <c r="A10" s="149" t="s">
        <v>94</v>
      </c>
      <c r="B10" s="150">
        <f aca="true" t="shared" si="0" ref="B10:I10">B9-B11</f>
        <v>0</v>
      </c>
      <c r="C10" s="150">
        <f t="shared" si="0"/>
        <v>0</v>
      </c>
      <c r="D10" s="150">
        <f t="shared" si="0"/>
        <v>0</v>
      </c>
      <c r="E10" s="151">
        <f t="shared" si="0"/>
        <v>0</v>
      </c>
      <c r="F10" s="151">
        <f t="shared" si="0"/>
        <v>0</v>
      </c>
      <c r="G10" s="151">
        <f t="shared" si="0"/>
        <v>0</v>
      </c>
      <c r="H10" s="151">
        <f t="shared" si="0"/>
        <v>0</v>
      </c>
      <c r="I10" s="151">
        <f t="shared" si="0"/>
        <v>0</v>
      </c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  <c r="BY10" s="129"/>
      <c r="BZ10" s="129"/>
      <c r="CA10" s="129"/>
      <c r="CB10" s="129"/>
      <c r="CC10" s="129"/>
      <c r="CD10" s="129"/>
      <c r="CE10" s="129"/>
      <c r="CF10" s="129"/>
      <c r="CG10" s="129"/>
      <c r="CH10" s="129"/>
      <c r="CI10" s="129"/>
      <c r="CJ10" s="129"/>
      <c r="CK10" s="129"/>
      <c r="CL10" s="129"/>
      <c r="CM10" s="129"/>
      <c r="CN10" s="129"/>
      <c r="CO10" s="129"/>
      <c r="CP10" s="129"/>
      <c r="CQ10" s="129"/>
      <c r="CR10" s="129"/>
      <c r="CS10" s="129"/>
      <c r="CT10" s="129"/>
      <c r="CU10" s="129"/>
      <c r="CV10" s="129"/>
      <c r="CW10" s="129"/>
      <c r="CX10" s="129"/>
      <c r="CY10" s="129"/>
      <c r="CZ10" s="129"/>
      <c r="DA10" s="129"/>
      <c r="DB10" s="129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  <c r="EO10" s="129"/>
      <c r="EP10" s="129"/>
      <c r="EQ10" s="129"/>
      <c r="ER10" s="129"/>
      <c r="ES10" s="129"/>
      <c r="ET10" s="129"/>
      <c r="EU10" s="129"/>
      <c r="EV10" s="129"/>
      <c r="EW10" s="129"/>
      <c r="EX10" s="129"/>
      <c r="EY10" s="129"/>
      <c r="EZ10" s="129"/>
      <c r="FA10" s="129"/>
      <c r="FB10" s="129"/>
      <c r="FC10" s="129"/>
      <c r="FD10" s="129"/>
      <c r="FE10" s="129"/>
      <c r="FF10" s="129"/>
      <c r="FG10" s="129"/>
      <c r="FH10" s="129"/>
      <c r="FI10" s="129"/>
      <c r="FJ10" s="129"/>
      <c r="FK10" s="129"/>
      <c r="FL10" s="129"/>
      <c r="FM10" s="129"/>
      <c r="FN10" s="129"/>
      <c r="FO10" s="129"/>
      <c r="FP10" s="129"/>
      <c r="FQ10" s="129"/>
      <c r="FR10" s="129"/>
      <c r="FS10" s="129"/>
      <c r="FT10" s="129"/>
      <c r="FU10" s="129"/>
      <c r="FV10" s="129"/>
      <c r="FW10" s="129"/>
      <c r="FX10" s="129"/>
      <c r="FY10" s="129"/>
      <c r="FZ10" s="129"/>
      <c r="GA10" s="129"/>
      <c r="GB10" s="129"/>
      <c r="GC10" s="129"/>
      <c r="GD10" s="129"/>
      <c r="GE10" s="129"/>
      <c r="GF10" s="129"/>
      <c r="GG10" s="129"/>
      <c r="GH10" s="129"/>
      <c r="GI10" s="129"/>
      <c r="GJ10" s="129"/>
      <c r="GK10" s="129"/>
      <c r="GL10" s="129"/>
      <c r="GM10" s="129"/>
      <c r="GN10" s="129"/>
      <c r="GO10" s="129"/>
      <c r="GP10" s="129"/>
      <c r="GQ10" s="129"/>
      <c r="GR10" s="129"/>
      <c r="GS10" s="129"/>
      <c r="GT10" s="129"/>
      <c r="GU10" s="129"/>
      <c r="GV10" s="129"/>
      <c r="GW10" s="129"/>
      <c r="GX10" s="129"/>
      <c r="GY10" s="129"/>
      <c r="GZ10" s="129"/>
      <c r="HA10" s="129"/>
      <c r="HB10" s="129"/>
      <c r="HC10" s="129"/>
      <c r="HD10" s="129"/>
      <c r="HE10" s="129"/>
      <c r="HF10" s="129"/>
      <c r="HG10" s="129"/>
      <c r="HH10" s="129"/>
      <c r="HI10" s="129"/>
      <c r="HJ10" s="129"/>
      <c r="HK10" s="129"/>
      <c r="HL10" s="129"/>
      <c r="HM10" s="129"/>
      <c r="HN10" s="129"/>
      <c r="HO10" s="129"/>
      <c r="HP10" s="129"/>
      <c r="HQ10" s="129"/>
      <c r="HR10" s="129"/>
      <c r="HS10" s="129"/>
      <c r="HT10" s="129"/>
      <c r="HU10" s="129"/>
      <c r="HV10" s="129"/>
      <c r="HW10" s="129"/>
      <c r="HX10" s="129"/>
      <c r="HY10" s="129"/>
      <c r="HZ10" s="129"/>
      <c r="IA10" s="129"/>
      <c r="IB10" s="129"/>
      <c r="IC10" s="129"/>
      <c r="ID10" s="129"/>
      <c r="IE10" s="129"/>
      <c r="IF10" s="129"/>
      <c r="IG10" s="129"/>
      <c r="IH10" s="129"/>
      <c r="II10" s="129"/>
      <c r="IJ10" s="129"/>
      <c r="IK10" s="129"/>
      <c r="IL10" s="129"/>
      <c r="IM10" s="129"/>
      <c r="IN10" s="129"/>
      <c r="IO10" s="129"/>
      <c r="IP10" s="129"/>
      <c r="IQ10" s="129"/>
      <c r="IR10" s="129"/>
      <c r="IS10" s="129"/>
      <c r="IT10" s="129"/>
      <c r="IU10" s="129"/>
    </row>
    <row r="11" spans="1:255" ht="12.75" customHeight="1">
      <c r="A11" s="146" t="s">
        <v>95</v>
      </c>
      <c r="B11" s="147">
        <v>0</v>
      </c>
      <c r="C11" s="147">
        <v>0</v>
      </c>
      <c r="D11" s="147">
        <v>0</v>
      </c>
      <c r="E11" s="148">
        <v>0</v>
      </c>
      <c r="F11" s="148">
        <v>0</v>
      </c>
      <c r="G11" s="148">
        <v>0</v>
      </c>
      <c r="H11" s="148">
        <v>0</v>
      </c>
      <c r="I11" s="148">
        <v>0</v>
      </c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9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  <c r="EO11" s="129"/>
      <c r="EP11" s="129"/>
      <c r="EQ11" s="129"/>
      <c r="ER11" s="129"/>
      <c r="ES11" s="129"/>
      <c r="ET11" s="129"/>
      <c r="EU11" s="129"/>
      <c r="EV11" s="129"/>
      <c r="EW11" s="129"/>
      <c r="EX11" s="129"/>
      <c r="EY11" s="129"/>
      <c r="EZ11" s="129"/>
      <c r="FA11" s="129"/>
      <c r="FB11" s="129"/>
      <c r="FC11" s="129"/>
      <c r="FD11" s="129"/>
      <c r="FE11" s="129"/>
      <c r="FF11" s="129"/>
      <c r="FG11" s="129"/>
      <c r="FH11" s="129"/>
      <c r="FI11" s="129"/>
      <c r="FJ11" s="129"/>
      <c r="FK11" s="129"/>
      <c r="FL11" s="129"/>
      <c r="FM11" s="129"/>
      <c r="FN11" s="129"/>
      <c r="FO11" s="129"/>
      <c r="FP11" s="129"/>
      <c r="FQ11" s="129"/>
      <c r="FR11" s="129"/>
      <c r="FS11" s="129"/>
      <c r="FT11" s="129"/>
      <c r="FU11" s="129"/>
      <c r="FV11" s="129"/>
      <c r="FW11" s="129"/>
      <c r="FX11" s="129"/>
      <c r="FY11" s="129"/>
      <c r="FZ11" s="129"/>
      <c r="GA11" s="129"/>
      <c r="GB11" s="129"/>
      <c r="GC11" s="129"/>
      <c r="GD11" s="129"/>
      <c r="GE11" s="129"/>
      <c r="GF11" s="129"/>
      <c r="GG11" s="129"/>
      <c r="GH11" s="129"/>
      <c r="GI11" s="129"/>
      <c r="GJ11" s="129"/>
      <c r="GK11" s="129"/>
      <c r="GL11" s="129"/>
      <c r="GM11" s="129"/>
      <c r="GN11" s="129"/>
      <c r="GO11" s="129"/>
      <c r="GP11" s="129"/>
      <c r="GQ11" s="129"/>
      <c r="GR11" s="129"/>
      <c r="GS11" s="129"/>
      <c r="GT11" s="129"/>
      <c r="GU11" s="129"/>
      <c r="GV11" s="129"/>
      <c r="GW11" s="129"/>
      <c r="GX11" s="129"/>
      <c r="GY11" s="129"/>
      <c r="GZ11" s="129"/>
      <c r="HA11" s="129"/>
      <c r="HB11" s="129"/>
      <c r="HC11" s="129"/>
      <c r="HD11" s="129"/>
      <c r="HE11" s="129"/>
      <c r="HF11" s="129"/>
      <c r="HG11" s="129"/>
      <c r="HH11" s="129"/>
      <c r="HI11" s="129"/>
      <c r="HJ11" s="129"/>
      <c r="HK11" s="129"/>
      <c r="HL11" s="129"/>
      <c r="HM11" s="129"/>
      <c r="HN11" s="129"/>
      <c r="HO11" s="129"/>
      <c r="HP11" s="129"/>
      <c r="HQ11" s="129"/>
      <c r="HR11" s="129"/>
      <c r="HS11" s="129"/>
      <c r="HT11" s="129"/>
      <c r="HU11" s="129"/>
      <c r="HV11" s="129"/>
      <c r="HW11" s="129"/>
      <c r="HX11" s="129"/>
      <c r="HY11" s="129"/>
      <c r="HZ11" s="129"/>
      <c r="IA11" s="129"/>
      <c r="IB11" s="129"/>
      <c r="IC11" s="129"/>
      <c r="ID11" s="129"/>
      <c r="IE11" s="129"/>
      <c r="IF11" s="129"/>
      <c r="IG11" s="129"/>
      <c r="IH11" s="129"/>
      <c r="II11" s="129"/>
      <c r="IJ11" s="129"/>
      <c r="IK11" s="129"/>
      <c r="IL11" s="129"/>
      <c r="IM11" s="129"/>
      <c r="IN11" s="129"/>
      <c r="IO11" s="129"/>
      <c r="IP11" s="129"/>
      <c r="IQ11" s="129"/>
      <c r="IR11" s="129"/>
      <c r="IS11" s="129"/>
      <c r="IT11" s="129"/>
      <c r="IU11" s="129"/>
    </row>
    <row r="12" spans="1:255" ht="12.75" customHeight="1">
      <c r="A12" s="149" t="s">
        <v>96</v>
      </c>
      <c r="B12" s="150">
        <f>IF(B11&gt;32919,B11*0.275-6585.93,IF(B11&gt;16473.73,B11*0.15-2471.06,0))</f>
        <v>0</v>
      </c>
      <c r="C12" s="150">
        <f>IF(C11&gt;42984,C11*0.275-7955.36,IF(C11&gt;34400.4,C11*0.225-5806.16,IF(C11&gt;25800,C11*0.15-3226.13,IF(C11&gt;17215.08,C11*0.075-1291.13,0))))</f>
        <v>0</v>
      </c>
      <c r="D12" s="150">
        <f>IF(D11&gt;44918.28,D11*0.275-8313.35,IF(D11&gt;35948.4,D11*0.225-6067.44,IF(D11&gt;26961,D11*0.15-3371.31,IF(D11&gt;17989.8,D11*0.075-1349.24,0))))</f>
        <v>0</v>
      </c>
      <c r="E12" s="151">
        <f>IF(E11&gt;46939.56,E11*0.275-8687.45,IF(E11&gt;37566.12,E11*0.225-6340.47,IF(E11&gt;28174.2,E11*0.15-3523.01,IF(E11&gt;18799.32,E11*0.075-1409.95,0))))</f>
        <v>0</v>
      </c>
      <c r="F12" s="151">
        <f>IF(F11&gt;49051.8,F11*0.275-9078.38,IF(F11&gt;39256.56,F11*0.225-6625.79,IF(F11&gt;29442,F11*0.15-3681.55,IF(F11&gt;19645.32,F11*0.075-1473.4,0))))</f>
        <v>0</v>
      </c>
      <c r="G12" s="151">
        <f>IF(G11&gt;51259.08,G11*0.275-9486.91,IF(G11&gt;41023.08,G11*0.225-6923.95,IF(G11&gt;30766.92,G11*0.15-3847.22,IF(G11&gt;20529.36,G11*0.075-1539.7,0))))</f>
        <v>0</v>
      </c>
      <c r="H12" s="151">
        <f>IF(H11&gt;53565.72,H11*0.275-9913.83,IF(H11&gt;42869.16,H11*0.225-7235.54,IF(H11&gt;32151.48,H11*0.15-4020.35,IF(H11&gt;21453.24,H11*0.075-1608.99,0))))</f>
        <v>0</v>
      </c>
      <c r="I12" s="151">
        <f>IF(I11&gt;53565.72,I11*0.275-9913.83,IF(I11&gt;42869.16,I11*0.225-7235.54,IF(I11&gt;32151.48,I11*0.15-4020.35,IF(I11&gt;21453.24,I11*0.075-1608.99,0))))</f>
        <v>0</v>
      </c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  <c r="BY12" s="129"/>
      <c r="BZ12" s="129"/>
      <c r="CA12" s="129"/>
      <c r="CB12" s="129"/>
      <c r="CC12" s="129"/>
      <c r="CD12" s="129"/>
      <c r="CE12" s="129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9"/>
      <c r="CY12" s="129"/>
      <c r="CZ12" s="129"/>
      <c r="DA12" s="129"/>
      <c r="DB12" s="129"/>
      <c r="DC12" s="129"/>
      <c r="DD12" s="129"/>
      <c r="DE12" s="129"/>
      <c r="DF12" s="129"/>
      <c r="DG12" s="129"/>
      <c r="DH12" s="129"/>
      <c r="DI12" s="129"/>
      <c r="DJ12" s="129"/>
      <c r="DK12" s="129"/>
      <c r="DL12" s="129"/>
      <c r="DM12" s="129"/>
      <c r="DN12" s="129"/>
      <c r="DO12" s="129"/>
      <c r="DP12" s="129"/>
      <c r="DQ12" s="129"/>
      <c r="DR12" s="129"/>
      <c r="DS12" s="129"/>
      <c r="DT12" s="129"/>
      <c r="DU12" s="129"/>
      <c r="DV12" s="129"/>
      <c r="DW12" s="129"/>
      <c r="DX12" s="129"/>
      <c r="DY12" s="129"/>
      <c r="DZ12" s="129"/>
      <c r="EA12" s="129"/>
      <c r="EB12" s="129"/>
      <c r="EC12" s="129"/>
      <c r="ED12" s="129"/>
      <c r="EE12" s="129"/>
      <c r="EF12" s="129"/>
      <c r="EG12" s="129"/>
      <c r="EH12" s="129"/>
      <c r="EI12" s="129"/>
      <c r="EJ12" s="129"/>
      <c r="EK12" s="129"/>
      <c r="EL12" s="129"/>
      <c r="EM12" s="129"/>
      <c r="EN12" s="129"/>
      <c r="EO12" s="129"/>
      <c r="EP12" s="129"/>
      <c r="EQ12" s="129"/>
      <c r="ER12" s="129"/>
      <c r="ES12" s="129"/>
      <c r="ET12" s="129"/>
      <c r="EU12" s="129"/>
      <c r="EV12" s="129"/>
      <c r="EW12" s="129"/>
      <c r="EX12" s="129"/>
      <c r="EY12" s="129"/>
      <c r="EZ12" s="129"/>
      <c r="FA12" s="129"/>
      <c r="FB12" s="129"/>
      <c r="FC12" s="129"/>
      <c r="FD12" s="129"/>
      <c r="FE12" s="129"/>
      <c r="FF12" s="129"/>
      <c r="FG12" s="129"/>
      <c r="FH12" s="129"/>
      <c r="FI12" s="129"/>
      <c r="FJ12" s="129"/>
      <c r="FK12" s="129"/>
      <c r="FL12" s="129"/>
      <c r="FM12" s="129"/>
      <c r="FN12" s="129"/>
      <c r="FO12" s="129"/>
      <c r="FP12" s="129"/>
      <c r="FQ12" s="129"/>
      <c r="FR12" s="129"/>
      <c r="FS12" s="129"/>
      <c r="FT12" s="129"/>
      <c r="FU12" s="129"/>
      <c r="FV12" s="129"/>
      <c r="FW12" s="129"/>
      <c r="FX12" s="129"/>
      <c r="FY12" s="129"/>
      <c r="FZ12" s="129"/>
      <c r="GA12" s="129"/>
      <c r="GB12" s="129"/>
      <c r="GC12" s="129"/>
      <c r="GD12" s="129"/>
      <c r="GE12" s="129"/>
      <c r="GF12" s="129"/>
      <c r="GG12" s="129"/>
      <c r="GH12" s="129"/>
      <c r="GI12" s="129"/>
      <c r="GJ12" s="129"/>
      <c r="GK12" s="129"/>
      <c r="GL12" s="129"/>
      <c r="GM12" s="129"/>
      <c r="GN12" s="129"/>
      <c r="GO12" s="129"/>
      <c r="GP12" s="129"/>
      <c r="GQ12" s="129"/>
      <c r="GR12" s="129"/>
      <c r="GS12" s="129"/>
      <c r="GT12" s="129"/>
      <c r="GU12" s="129"/>
      <c r="GV12" s="129"/>
      <c r="GW12" s="129"/>
      <c r="GX12" s="129"/>
      <c r="GY12" s="129"/>
      <c r="GZ12" s="129"/>
      <c r="HA12" s="129"/>
      <c r="HB12" s="129"/>
      <c r="HC12" s="129"/>
      <c r="HD12" s="129"/>
      <c r="HE12" s="129"/>
      <c r="HF12" s="129"/>
      <c r="HG12" s="129"/>
      <c r="HH12" s="129"/>
      <c r="HI12" s="129"/>
      <c r="HJ12" s="129"/>
      <c r="HK12" s="129"/>
      <c r="HL12" s="129"/>
      <c r="HM12" s="129"/>
      <c r="HN12" s="129"/>
      <c r="HO12" s="129"/>
      <c r="HP12" s="129"/>
      <c r="HQ12" s="129"/>
      <c r="HR12" s="129"/>
      <c r="HS12" s="129"/>
      <c r="HT12" s="129"/>
      <c r="HU12" s="129"/>
      <c r="HV12" s="129"/>
      <c r="HW12" s="129"/>
      <c r="HX12" s="129"/>
      <c r="HY12" s="129"/>
      <c r="HZ12" s="129"/>
      <c r="IA12" s="129"/>
      <c r="IB12" s="129"/>
      <c r="IC12" s="129"/>
      <c r="ID12" s="129"/>
      <c r="IE12" s="129"/>
      <c r="IF12" s="129"/>
      <c r="IG12" s="129"/>
      <c r="IH12" s="129"/>
      <c r="II12" s="129"/>
      <c r="IJ12" s="129"/>
      <c r="IK12" s="129"/>
      <c r="IL12" s="129"/>
      <c r="IM12" s="129"/>
      <c r="IN12" s="129"/>
      <c r="IO12" s="129"/>
      <c r="IP12" s="129"/>
      <c r="IQ12" s="129"/>
      <c r="IR12" s="129"/>
      <c r="IS12" s="129"/>
      <c r="IT12" s="129"/>
      <c r="IU12" s="129"/>
    </row>
    <row r="13" spans="1:255" ht="12.75" customHeight="1">
      <c r="A13" s="149" t="s">
        <v>97</v>
      </c>
      <c r="B13" s="147">
        <v>0</v>
      </c>
      <c r="C13" s="147">
        <v>0</v>
      </c>
      <c r="D13" s="147">
        <v>0</v>
      </c>
      <c r="E13" s="148">
        <v>0</v>
      </c>
      <c r="F13" s="148">
        <v>0</v>
      </c>
      <c r="G13" s="148">
        <v>0</v>
      </c>
      <c r="H13" s="148">
        <v>0</v>
      </c>
      <c r="I13" s="148">
        <v>0</v>
      </c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29"/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  <c r="EO13" s="129"/>
      <c r="EP13" s="129"/>
      <c r="EQ13" s="129"/>
      <c r="ER13" s="129"/>
      <c r="ES13" s="129"/>
      <c r="ET13" s="129"/>
      <c r="EU13" s="129"/>
      <c r="EV13" s="129"/>
      <c r="EW13" s="129"/>
      <c r="EX13" s="129"/>
      <c r="EY13" s="129"/>
      <c r="EZ13" s="129"/>
      <c r="FA13" s="129"/>
      <c r="FB13" s="129"/>
      <c r="FC13" s="129"/>
      <c r="FD13" s="129"/>
      <c r="FE13" s="129"/>
      <c r="FF13" s="129"/>
      <c r="FG13" s="129"/>
      <c r="FH13" s="129"/>
      <c r="FI13" s="129"/>
      <c r="FJ13" s="129"/>
      <c r="FK13" s="129"/>
      <c r="FL13" s="129"/>
      <c r="FM13" s="129"/>
      <c r="FN13" s="129"/>
      <c r="FO13" s="129"/>
      <c r="FP13" s="129"/>
      <c r="FQ13" s="129"/>
      <c r="FR13" s="129"/>
      <c r="FS13" s="129"/>
      <c r="FT13" s="129"/>
      <c r="FU13" s="129"/>
      <c r="FV13" s="129"/>
      <c r="FW13" s="129"/>
      <c r="FX13" s="129"/>
      <c r="FY13" s="129"/>
      <c r="FZ13" s="129"/>
      <c r="GA13" s="129"/>
      <c r="GB13" s="129"/>
      <c r="GC13" s="129"/>
      <c r="GD13" s="129"/>
      <c r="GE13" s="129"/>
      <c r="GF13" s="129"/>
      <c r="GG13" s="129"/>
      <c r="GH13" s="129"/>
      <c r="GI13" s="129"/>
      <c r="GJ13" s="129"/>
      <c r="GK13" s="129"/>
      <c r="GL13" s="129"/>
      <c r="GM13" s="129"/>
      <c r="GN13" s="129"/>
      <c r="GO13" s="129"/>
      <c r="GP13" s="129"/>
      <c r="GQ13" s="129"/>
      <c r="GR13" s="129"/>
      <c r="GS13" s="129"/>
      <c r="GT13" s="129"/>
      <c r="GU13" s="129"/>
      <c r="GV13" s="129"/>
      <c r="GW13" s="129"/>
      <c r="GX13" s="129"/>
      <c r="GY13" s="129"/>
      <c r="GZ13" s="129"/>
      <c r="HA13" s="129"/>
      <c r="HB13" s="129"/>
      <c r="HC13" s="129"/>
      <c r="HD13" s="129"/>
      <c r="HE13" s="129"/>
      <c r="HF13" s="129"/>
      <c r="HG13" s="129"/>
      <c r="HH13" s="129"/>
      <c r="HI13" s="129"/>
      <c r="HJ13" s="129"/>
      <c r="HK13" s="129"/>
      <c r="HL13" s="129"/>
      <c r="HM13" s="129"/>
      <c r="HN13" s="129"/>
      <c r="HO13" s="129"/>
      <c r="HP13" s="129"/>
      <c r="HQ13" s="129"/>
      <c r="HR13" s="129"/>
      <c r="HS13" s="129"/>
      <c r="HT13" s="129"/>
      <c r="HU13" s="129"/>
      <c r="HV13" s="129"/>
      <c r="HW13" s="129"/>
      <c r="HX13" s="129"/>
      <c r="HY13" s="129"/>
      <c r="HZ13" s="129"/>
      <c r="IA13" s="129"/>
      <c r="IB13" s="129"/>
      <c r="IC13" s="129"/>
      <c r="ID13" s="129"/>
      <c r="IE13" s="129"/>
      <c r="IF13" s="129"/>
      <c r="IG13" s="129"/>
      <c r="IH13" s="129"/>
      <c r="II13" s="129"/>
      <c r="IJ13" s="129"/>
      <c r="IK13" s="129"/>
      <c r="IL13" s="129"/>
      <c r="IM13" s="129"/>
      <c r="IN13" s="129"/>
      <c r="IO13" s="129"/>
      <c r="IP13" s="129"/>
      <c r="IQ13" s="129"/>
      <c r="IR13" s="129"/>
      <c r="IS13" s="129"/>
      <c r="IT13" s="129"/>
      <c r="IU13" s="129"/>
    </row>
    <row r="14" spans="1:255" ht="12.75" customHeight="1">
      <c r="A14" s="149" t="s">
        <v>98</v>
      </c>
      <c r="B14" s="150">
        <f>+B12-B13</f>
        <v>0</v>
      </c>
      <c r="C14" s="150">
        <f>+C12-C13</f>
        <v>0</v>
      </c>
      <c r="D14" s="150">
        <f>+D12-D13</f>
        <v>0</v>
      </c>
      <c r="E14" s="151">
        <f>E12-E13</f>
        <v>0</v>
      </c>
      <c r="F14" s="151">
        <f>F12-F13</f>
        <v>0</v>
      </c>
      <c r="G14" s="151">
        <f>G12-G13</f>
        <v>0</v>
      </c>
      <c r="H14" s="151">
        <f>H12-H13</f>
        <v>0</v>
      </c>
      <c r="I14" s="151">
        <f>+I12-I13</f>
        <v>0</v>
      </c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129"/>
      <c r="EN14" s="129"/>
      <c r="EO14" s="129"/>
      <c r="EP14" s="129"/>
      <c r="EQ14" s="129"/>
      <c r="ER14" s="129"/>
      <c r="ES14" s="129"/>
      <c r="ET14" s="129"/>
      <c r="EU14" s="129"/>
      <c r="EV14" s="129"/>
      <c r="EW14" s="129"/>
      <c r="EX14" s="129"/>
      <c r="EY14" s="129"/>
      <c r="EZ14" s="129"/>
      <c r="FA14" s="129"/>
      <c r="FB14" s="129"/>
      <c r="FC14" s="129"/>
      <c r="FD14" s="129"/>
      <c r="FE14" s="129"/>
      <c r="FF14" s="129"/>
      <c r="FG14" s="129"/>
      <c r="FH14" s="129"/>
      <c r="FI14" s="129"/>
      <c r="FJ14" s="129"/>
      <c r="FK14" s="129"/>
      <c r="FL14" s="129"/>
      <c r="FM14" s="129"/>
      <c r="FN14" s="129"/>
      <c r="FO14" s="129"/>
      <c r="FP14" s="129"/>
      <c r="FQ14" s="129"/>
      <c r="FR14" s="129"/>
      <c r="FS14" s="129"/>
      <c r="FT14" s="129"/>
      <c r="FU14" s="129"/>
      <c r="FV14" s="129"/>
      <c r="FW14" s="129"/>
      <c r="FX14" s="129"/>
      <c r="FY14" s="129"/>
      <c r="FZ14" s="129"/>
      <c r="GA14" s="129"/>
      <c r="GB14" s="129"/>
      <c r="GC14" s="129"/>
      <c r="GD14" s="129"/>
      <c r="GE14" s="129"/>
      <c r="GF14" s="129"/>
      <c r="GG14" s="129"/>
      <c r="GH14" s="129"/>
      <c r="GI14" s="129"/>
      <c r="GJ14" s="129"/>
      <c r="GK14" s="129"/>
      <c r="GL14" s="129"/>
      <c r="GM14" s="129"/>
      <c r="GN14" s="129"/>
      <c r="GO14" s="129"/>
      <c r="GP14" s="129"/>
      <c r="GQ14" s="129"/>
      <c r="GR14" s="129"/>
      <c r="GS14" s="129"/>
      <c r="GT14" s="129"/>
      <c r="GU14" s="129"/>
      <c r="GV14" s="129"/>
      <c r="GW14" s="129"/>
      <c r="GX14" s="129"/>
      <c r="GY14" s="129"/>
      <c r="GZ14" s="129"/>
      <c r="HA14" s="129"/>
      <c r="HB14" s="129"/>
      <c r="HC14" s="129"/>
      <c r="HD14" s="129"/>
      <c r="HE14" s="129"/>
      <c r="HF14" s="129"/>
      <c r="HG14" s="129"/>
      <c r="HH14" s="129"/>
      <c r="HI14" s="129"/>
      <c r="HJ14" s="129"/>
      <c r="HK14" s="129"/>
      <c r="HL14" s="129"/>
      <c r="HM14" s="129"/>
      <c r="HN14" s="129"/>
      <c r="HO14" s="129"/>
      <c r="HP14" s="129"/>
      <c r="HQ14" s="129"/>
      <c r="HR14" s="129"/>
      <c r="HS14" s="129"/>
      <c r="HT14" s="129"/>
      <c r="HU14" s="129"/>
      <c r="HV14" s="129"/>
      <c r="HW14" s="129"/>
      <c r="HX14" s="129"/>
      <c r="HY14" s="129"/>
      <c r="HZ14" s="129"/>
      <c r="IA14" s="129"/>
      <c r="IB14" s="129"/>
      <c r="IC14" s="129"/>
      <c r="ID14" s="129"/>
      <c r="IE14" s="129"/>
      <c r="IF14" s="129"/>
      <c r="IG14" s="129"/>
      <c r="IH14" s="129"/>
      <c r="II14" s="129"/>
      <c r="IJ14" s="129"/>
      <c r="IK14" s="129"/>
      <c r="IL14" s="129"/>
      <c r="IM14" s="129"/>
      <c r="IN14" s="129"/>
      <c r="IO14" s="129"/>
      <c r="IP14" s="129"/>
      <c r="IQ14" s="129"/>
      <c r="IR14" s="129"/>
      <c r="IS14" s="129"/>
      <c r="IT14" s="129"/>
      <c r="IU14" s="129"/>
    </row>
    <row r="15" spans="1:255" ht="12.75" customHeight="1">
      <c r="A15" s="149" t="s">
        <v>99</v>
      </c>
      <c r="B15" s="147">
        <v>0</v>
      </c>
      <c r="C15" s="147">
        <v>0</v>
      </c>
      <c r="D15" s="147">
        <v>0</v>
      </c>
      <c r="E15" s="148">
        <v>0</v>
      </c>
      <c r="F15" s="148">
        <v>0</v>
      </c>
      <c r="G15" s="148">
        <v>0</v>
      </c>
      <c r="H15" s="148">
        <v>0</v>
      </c>
      <c r="I15" s="148">
        <v>0</v>
      </c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29"/>
      <c r="CQ15" s="129"/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  <c r="DF15" s="129"/>
      <c r="DG15" s="129"/>
      <c r="DH15" s="129"/>
      <c r="DI15" s="129"/>
      <c r="DJ15" s="129"/>
      <c r="DK15" s="129"/>
      <c r="DL15" s="129"/>
      <c r="DM15" s="129"/>
      <c r="DN15" s="129"/>
      <c r="DO15" s="129"/>
      <c r="DP15" s="129"/>
      <c r="DQ15" s="129"/>
      <c r="DR15" s="129"/>
      <c r="DS15" s="129"/>
      <c r="DT15" s="129"/>
      <c r="DU15" s="129"/>
      <c r="DV15" s="129"/>
      <c r="DW15" s="129"/>
      <c r="DX15" s="129"/>
      <c r="DY15" s="129"/>
      <c r="DZ15" s="129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129"/>
      <c r="EO15" s="129"/>
      <c r="EP15" s="129"/>
      <c r="EQ15" s="129"/>
      <c r="ER15" s="129"/>
      <c r="ES15" s="129"/>
      <c r="ET15" s="129"/>
      <c r="EU15" s="129"/>
      <c r="EV15" s="129"/>
      <c r="EW15" s="129"/>
      <c r="EX15" s="129"/>
      <c r="EY15" s="129"/>
      <c r="EZ15" s="129"/>
      <c r="FA15" s="129"/>
      <c r="FB15" s="129"/>
      <c r="FC15" s="129"/>
      <c r="FD15" s="129"/>
      <c r="FE15" s="129"/>
      <c r="FF15" s="129"/>
      <c r="FG15" s="129"/>
      <c r="FH15" s="129"/>
      <c r="FI15" s="129"/>
      <c r="FJ15" s="129"/>
      <c r="FK15" s="129"/>
      <c r="FL15" s="129"/>
      <c r="FM15" s="129"/>
      <c r="FN15" s="129"/>
      <c r="FO15" s="129"/>
      <c r="FP15" s="129"/>
      <c r="FQ15" s="129"/>
      <c r="FR15" s="129"/>
      <c r="FS15" s="129"/>
      <c r="FT15" s="129"/>
      <c r="FU15" s="129"/>
      <c r="FV15" s="129"/>
      <c r="FW15" s="129"/>
      <c r="FX15" s="129"/>
      <c r="FY15" s="129"/>
      <c r="FZ15" s="129"/>
      <c r="GA15" s="129"/>
      <c r="GB15" s="129"/>
      <c r="GC15" s="129"/>
      <c r="GD15" s="129"/>
      <c r="GE15" s="129"/>
      <c r="GF15" s="129"/>
      <c r="GG15" s="129"/>
      <c r="GH15" s="129"/>
      <c r="GI15" s="129"/>
      <c r="GJ15" s="129"/>
      <c r="GK15" s="129"/>
      <c r="GL15" s="129"/>
      <c r="GM15" s="129"/>
      <c r="GN15" s="129"/>
      <c r="GO15" s="129"/>
      <c r="GP15" s="129"/>
      <c r="GQ15" s="129"/>
      <c r="GR15" s="129"/>
      <c r="GS15" s="129"/>
      <c r="GT15" s="129"/>
      <c r="GU15" s="129"/>
      <c r="GV15" s="129"/>
      <c r="GW15" s="129"/>
      <c r="GX15" s="129"/>
      <c r="GY15" s="129"/>
      <c r="GZ15" s="129"/>
      <c r="HA15" s="129"/>
      <c r="HB15" s="129"/>
      <c r="HC15" s="129"/>
      <c r="HD15" s="129"/>
      <c r="HE15" s="129"/>
      <c r="HF15" s="129"/>
      <c r="HG15" s="129"/>
      <c r="HH15" s="129"/>
      <c r="HI15" s="129"/>
      <c r="HJ15" s="129"/>
      <c r="HK15" s="129"/>
      <c r="HL15" s="129"/>
      <c r="HM15" s="129"/>
      <c r="HN15" s="129"/>
      <c r="HO15" s="129"/>
      <c r="HP15" s="129"/>
      <c r="HQ15" s="129"/>
      <c r="HR15" s="129"/>
      <c r="HS15" s="129"/>
      <c r="HT15" s="129"/>
      <c r="HU15" s="129"/>
      <c r="HV15" s="129"/>
      <c r="HW15" s="129"/>
      <c r="HX15" s="129"/>
      <c r="HY15" s="129"/>
      <c r="HZ15" s="129"/>
      <c r="IA15" s="129"/>
      <c r="IB15" s="129"/>
      <c r="IC15" s="129"/>
      <c r="ID15" s="129"/>
      <c r="IE15" s="129"/>
      <c r="IF15" s="129"/>
      <c r="IG15" s="129"/>
      <c r="IH15" s="129"/>
      <c r="II15" s="129"/>
      <c r="IJ15" s="129"/>
      <c r="IK15" s="129"/>
      <c r="IL15" s="129"/>
      <c r="IM15" s="129"/>
      <c r="IN15" s="129"/>
      <c r="IO15" s="129"/>
      <c r="IP15" s="129"/>
      <c r="IQ15" s="129"/>
      <c r="IR15" s="129"/>
      <c r="IS15" s="129"/>
      <c r="IT15" s="129"/>
      <c r="IU15" s="129"/>
    </row>
    <row r="16" spans="1:255" ht="12.75" customHeight="1">
      <c r="A16" s="152" t="s">
        <v>100</v>
      </c>
      <c r="B16" s="153"/>
      <c r="C16" s="153"/>
      <c r="D16" s="147">
        <v>0</v>
      </c>
      <c r="E16" s="148">
        <v>0</v>
      </c>
      <c r="F16" s="148">
        <v>0</v>
      </c>
      <c r="G16" s="148">
        <v>0</v>
      </c>
      <c r="H16" s="148">
        <v>0</v>
      </c>
      <c r="I16" s="148">
        <v>0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  <c r="CK16" s="129"/>
      <c r="CL16" s="129"/>
      <c r="CM16" s="129"/>
      <c r="CN16" s="129"/>
      <c r="CO16" s="129"/>
      <c r="CP16" s="129"/>
      <c r="CQ16" s="129"/>
      <c r="CR16" s="129"/>
      <c r="CS16" s="129"/>
      <c r="CT16" s="129"/>
      <c r="CU16" s="129"/>
      <c r="CV16" s="129"/>
      <c r="CW16" s="129"/>
      <c r="CX16" s="129"/>
      <c r="CY16" s="129"/>
      <c r="CZ16" s="129"/>
      <c r="DA16" s="129"/>
      <c r="DB16" s="129"/>
      <c r="DC16" s="129"/>
      <c r="DD16" s="129"/>
      <c r="DE16" s="129"/>
      <c r="DF16" s="129"/>
      <c r="DG16" s="129"/>
      <c r="DH16" s="129"/>
      <c r="DI16" s="129"/>
      <c r="DJ16" s="129"/>
      <c r="DK16" s="129"/>
      <c r="DL16" s="129"/>
      <c r="DM16" s="129"/>
      <c r="DN16" s="129"/>
      <c r="DO16" s="129"/>
      <c r="DP16" s="129"/>
      <c r="DQ16" s="129"/>
      <c r="DR16" s="129"/>
      <c r="DS16" s="129"/>
      <c r="DT16" s="129"/>
      <c r="DU16" s="129"/>
      <c r="DV16" s="129"/>
      <c r="DW16" s="129"/>
      <c r="DX16" s="129"/>
      <c r="DY16" s="129"/>
      <c r="DZ16" s="129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129"/>
      <c r="EO16" s="129"/>
      <c r="EP16" s="129"/>
      <c r="EQ16" s="129"/>
      <c r="ER16" s="129"/>
      <c r="ES16" s="129"/>
      <c r="ET16" s="129"/>
      <c r="EU16" s="129"/>
      <c r="EV16" s="129"/>
      <c r="EW16" s="129"/>
      <c r="EX16" s="129"/>
      <c r="EY16" s="129"/>
      <c r="EZ16" s="129"/>
      <c r="FA16" s="129"/>
      <c r="FB16" s="129"/>
      <c r="FC16" s="129"/>
      <c r="FD16" s="129"/>
      <c r="FE16" s="129"/>
      <c r="FF16" s="129"/>
      <c r="FG16" s="129"/>
      <c r="FH16" s="129"/>
      <c r="FI16" s="129"/>
      <c r="FJ16" s="129"/>
      <c r="FK16" s="129"/>
      <c r="FL16" s="129"/>
      <c r="FM16" s="129"/>
      <c r="FN16" s="129"/>
      <c r="FO16" s="129"/>
      <c r="FP16" s="129"/>
      <c r="FQ16" s="129"/>
      <c r="FR16" s="129"/>
      <c r="FS16" s="129"/>
      <c r="FT16" s="129"/>
      <c r="FU16" s="129"/>
      <c r="FV16" s="129"/>
      <c r="FW16" s="129"/>
      <c r="FX16" s="129"/>
      <c r="FY16" s="129"/>
      <c r="FZ16" s="129"/>
      <c r="GA16" s="129"/>
      <c r="GB16" s="129"/>
      <c r="GC16" s="129"/>
      <c r="GD16" s="129"/>
      <c r="GE16" s="129"/>
      <c r="GF16" s="129"/>
      <c r="GG16" s="129"/>
      <c r="GH16" s="129"/>
      <c r="GI16" s="129"/>
      <c r="GJ16" s="129"/>
      <c r="GK16" s="129"/>
      <c r="GL16" s="129"/>
      <c r="GM16" s="129"/>
      <c r="GN16" s="129"/>
      <c r="GO16" s="129"/>
      <c r="GP16" s="129"/>
      <c r="GQ16" s="129"/>
      <c r="GR16" s="129"/>
      <c r="GS16" s="129"/>
      <c r="GT16" s="129"/>
      <c r="GU16" s="129"/>
      <c r="GV16" s="129"/>
      <c r="GW16" s="129"/>
      <c r="GX16" s="129"/>
      <c r="GY16" s="129"/>
      <c r="GZ16" s="129"/>
      <c r="HA16" s="129"/>
      <c r="HB16" s="129"/>
      <c r="HC16" s="129"/>
      <c r="HD16" s="129"/>
      <c r="HE16" s="129"/>
      <c r="HF16" s="129"/>
      <c r="HG16" s="129"/>
      <c r="HH16" s="129"/>
      <c r="HI16" s="129"/>
      <c r="HJ16" s="129"/>
      <c r="HK16" s="129"/>
      <c r="HL16" s="129"/>
      <c r="HM16" s="129"/>
      <c r="HN16" s="129"/>
      <c r="HO16" s="129"/>
      <c r="HP16" s="129"/>
      <c r="HQ16" s="129"/>
      <c r="HR16" s="129"/>
      <c r="HS16" s="129"/>
      <c r="HT16" s="129"/>
      <c r="HU16" s="129"/>
      <c r="HV16" s="129"/>
      <c r="HW16" s="129"/>
      <c r="HX16" s="129"/>
      <c r="HY16" s="129"/>
      <c r="HZ16" s="129"/>
      <c r="IA16" s="129"/>
      <c r="IB16" s="129"/>
      <c r="IC16" s="129"/>
      <c r="ID16" s="129"/>
      <c r="IE16" s="129"/>
      <c r="IF16" s="129"/>
      <c r="IG16" s="129"/>
      <c r="IH16" s="129"/>
      <c r="II16" s="129"/>
      <c r="IJ16" s="129"/>
      <c r="IK16" s="129"/>
      <c r="IL16" s="129"/>
      <c r="IM16" s="129"/>
      <c r="IN16" s="129"/>
      <c r="IO16" s="129"/>
      <c r="IP16" s="129"/>
      <c r="IQ16" s="129"/>
      <c r="IR16" s="129"/>
      <c r="IS16" s="129"/>
      <c r="IT16" s="129"/>
      <c r="IU16" s="129"/>
    </row>
    <row r="17" spans="1:9" ht="12.75" customHeight="1">
      <c r="A17" s="149" t="s">
        <v>101</v>
      </c>
      <c r="B17" s="150">
        <f>+B14-B15</f>
        <v>0</v>
      </c>
      <c r="C17" s="150">
        <f>+C14-C15</f>
        <v>0</v>
      </c>
      <c r="D17" s="150">
        <f aca="true" t="shared" si="1" ref="D17:I17">+D14-D15+D16</f>
        <v>0</v>
      </c>
      <c r="E17" s="150">
        <f t="shared" si="1"/>
        <v>0</v>
      </c>
      <c r="F17" s="150">
        <f t="shared" si="1"/>
        <v>0</v>
      </c>
      <c r="G17" s="150">
        <f t="shared" si="1"/>
        <v>0</v>
      </c>
      <c r="H17" s="150">
        <f t="shared" si="1"/>
        <v>0</v>
      </c>
      <c r="I17" s="150">
        <f t="shared" si="1"/>
        <v>0</v>
      </c>
    </row>
    <row r="18" spans="1:9" ht="15" customHeight="1">
      <c r="A18" s="218" t="s">
        <v>102</v>
      </c>
      <c r="B18" s="218"/>
      <c r="C18" s="218"/>
      <c r="D18" s="218"/>
      <c r="E18" s="218"/>
      <c r="F18" s="218"/>
      <c r="G18" s="218"/>
      <c r="H18" s="218"/>
      <c r="I18" s="218"/>
    </row>
    <row r="19" spans="1:9" ht="12.75" customHeight="1">
      <c r="A19" s="142" t="s">
        <v>84</v>
      </c>
      <c r="B19" s="143" t="s">
        <v>85</v>
      </c>
      <c r="C19" s="143" t="s">
        <v>86</v>
      </c>
      <c r="D19" s="144" t="s">
        <v>87</v>
      </c>
      <c r="E19" s="145" t="s">
        <v>88</v>
      </c>
      <c r="F19" s="145" t="s">
        <v>89</v>
      </c>
      <c r="G19" s="145" t="s">
        <v>90</v>
      </c>
      <c r="H19" s="145" t="s">
        <v>91</v>
      </c>
      <c r="I19" s="143" t="s">
        <v>92</v>
      </c>
    </row>
    <row r="20" spans="1:9" ht="12.75" customHeight="1">
      <c r="A20" s="154" t="s">
        <v>103</v>
      </c>
      <c r="B20" s="155" t="b">
        <v>0</v>
      </c>
      <c r="C20" s="155" t="b">
        <v>0</v>
      </c>
      <c r="D20" s="155" t="b">
        <v>0</v>
      </c>
      <c r="E20" s="155" t="b">
        <v>0</v>
      </c>
      <c r="F20" s="155" t="b">
        <v>0</v>
      </c>
      <c r="G20" s="155" t="b">
        <v>0</v>
      </c>
      <c r="H20" s="155" t="b">
        <v>0</v>
      </c>
      <c r="I20" s="155" t="b">
        <v>0</v>
      </c>
    </row>
    <row r="21" spans="1:9" ht="12.75" customHeight="1">
      <c r="A21" s="149" t="s">
        <v>104</v>
      </c>
      <c r="B21" s="150">
        <f aca="true" t="shared" si="2" ref="B21:I21">+B9</f>
        <v>0</v>
      </c>
      <c r="C21" s="150">
        <f t="shared" si="2"/>
        <v>0</v>
      </c>
      <c r="D21" s="150">
        <f t="shared" si="2"/>
        <v>0</v>
      </c>
      <c r="E21" s="151">
        <f t="shared" si="2"/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</row>
    <row r="22" spans="1:9" ht="12.75" customHeight="1">
      <c r="A22" s="156" t="s">
        <v>105</v>
      </c>
      <c r="B22" s="157">
        <f>+'II. Exaurimento'!D24</f>
        <v>0</v>
      </c>
      <c r="C22" s="157">
        <f>+'II. Exaurimento'!D39</f>
        <v>0</v>
      </c>
      <c r="D22" s="158">
        <f>+'II. Exaurimento'!D54</f>
        <v>0</v>
      </c>
      <c r="E22" s="157">
        <f>+'II. Exaurimento'!D69</f>
        <v>0</v>
      </c>
      <c r="F22" s="157">
        <f>+'II. Exaurimento'!D84</f>
        <v>0</v>
      </c>
      <c r="G22" s="157">
        <f>+'II. Exaurimento'!D100</f>
        <v>0</v>
      </c>
      <c r="H22" s="157">
        <f>+'II. Exaurimento'!D116</f>
        <v>0</v>
      </c>
      <c r="I22" s="157">
        <f>+'II. Exaurimento'!D132</f>
        <v>0</v>
      </c>
    </row>
    <row r="23" spans="1:9" ht="12.75" customHeight="1">
      <c r="A23" s="149" t="s">
        <v>93</v>
      </c>
      <c r="B23" s="150">
        <f aca="true" t="shared" si="3" ref="B23:I23">B21-B22</f>
        <v>0</v>
      </c>
      <c r="C23" s="150">
        <f t="shared" si="3"/>
        <v>0</v>
      </c>
      <c r="D23" s="150">
        <f t="shared" si="3"/>
        <v>0</v>
      </c>
      <c r="E23" s="151">
        <f t="shared" si="3"/>
        <v>0</v>
      </c>
      <c r="F23" s="151">
        <f t="shared" si="3"/>
        <v>0</v>
      </c>
      <c r="G23" s="151">
        <f t="shared" si="3"/>
        <v>0</v>
      </c>
      <c r="H23" s="151">
        <f t="shared" si="3"/>
        <v>0</v>
      </c>
      <c r="I23" s="151">
        <f t="shared" si="3"/>
        <v>0</v>
      </c>
    </row>
    <row r="24" spans="1:9" ht="12.75" customHeight="1">
      <c r="A24" s="149" t="s">
        <v>94</v>
      </c>
      <c r="B24" s="150">
        <f>IF(B20=FALSE,B10,MIN(B23*0.2,12194.86))</f>
        <v>0</v>
      </c>
      <c r="C24" s="150">
        <f>IF(C20=FALSE,C10,MIN(C23*0.2,12743.63))</f>
        <v>0</v>
      </c>
      <c r="D24" s="150">
        <f>IF(D20=FALSE,D10,MIN(D23*0.2,13317.09))</f>
        <v>0</v>
      </c>
      <c r="E24" s="151">
        <f>IF(E20=FALSE,E10,MIN(E23*0.2,13916.36))</f>
        <v>0</v>
      </c>
      <c r="F24" s="151">
        <f>IF(F20=FALSE,F10,MIN(F23*0.2,14542.6))</f>
        <v>0</v>
      </c>
      <c r="G24" s="151">
        <f>IF(G20=FALSE,G10,MIN(G23*0.2,15197.02))</f>
        <v>0</v>
      </c>
      <c r="H24" s="151">
        <f>IF(H20=FALSE,H10,MIN(H23*0.2,15880.89))</f>
        <v>0</v>
      </c>
      <c r="I24" s="151">
        <f>IF(I20=FALSE,I10,MIN(I23*0.2,15880.89))</f>
        <v>0</v>
      </c>
    </row>
    <row r="25" spans="1:9" ht="12.75" customHeight="1">
      <c r="A25" s="149" t="s">
        <v>95</v>
      </c>
      <c r="B25" s="150">
        <f aca="true" t="shared" si="4" ref="B25:I25">B23-B24</f>
        <v>0</v>
      </c>
      <c r="C25" s="150">
        <f t="shared" si="4"/>
        <v>0</v>
      </c>
      <c r="D25" s="150">
        <f t="shared" si="4"/>
        <v>0</v>
      </c>
      <c r="E25" s="151">
        <f t="shared" si="4"/>
        <v>0</v>
      </c>
      <c r="F25" s="151">
        <f t="shared" si="4"/>
        <v>0</v>
      </c>
      <c r="G25" s="151">
        <f t="shared" si="4"/>
        <v>0</v>
      </c>
      <c r="H25" s="151">
        <f t="shared" si="4"/>
        <v>0</v>
      </c>
      <c r="I25" s="151">
        <f t="shared" si="4"/>
        <v>0</v>
      </c>
    </row>
    <row r="26" spans="1:9" ht="12.75" customHeight="1">
      <c r="A26" s="149" t="s">
        <v>96</v>
      </c>
      <c r="B26" s="150">
        <f>IF(B25&gt;32919,B25*0.275-6585.93,IF(B25&gt;16473.73,B25*0.15-2471.06,0))</f>
        <v>0</v>
      </c>
      <c r="C26" s="150">
        <f>IF(C25&gt;42984,C25*0.275-7955.36,IF(C25&gt;34400.4,C25*0.225-5806.16,IF(C25&gt;25800,C25*0.15-3226.13,IF(C25&gt;17215.08,C25*0.075-1291.13,0))))</f>
        <v>0</v>
      </c>
      <c r="D26" s="150">
        <f>IF(D25&gt;44918.28,D25*0.275-8313.35,IF(D25&gt;35948.4,D25*0.225-6067.44,IF(D25&gt;26961,D25*0.15-3371.31,IF(D25&gt;17989.8,D25*0.075-1349.24,0))))</f>
        <v>0</v>
      </c>
      <c r="E26" s="151">
        <f>IF(E25&gt;46939.56,E25*0.275-8687.45,IF(E25&gt;37566.12,E25*0.225-6340.47,IF(E25&gt;28174.2,E25*0.15-3523.01,IF(E25&gt;18799.32,E25*0.075-1409.95,0))))</f>
        <v>0</v>
      </c>
      <c r="F26" s="151">
        <f>IF(F25&gt;49051.8,F25*0.275-9078.38,IF(F25&gt;39256.56,F25*0.225-6625.79,IF(F25&gt;29442,F25*0.15-3681.55,IF(F25&gt;19645.32,F25*0.075-1473.4,0))))</f>
        <v>0</v>
      </c>
      <c r="G26" s="151">
        <f>IF(G25&gt;51259.08,G25*0.275-9486.91,IF(G25&gt;41023.08,G25*0.225-6923.95,IF(G25&gt;30766.92,G25*0.15-3847.22,IF(G25&gt;20529.36,G25*0.075-1539.7,0))))</f>
        <v>0</v>
      </c>
      <c r="H26" s="151">
        <f>IF(H25&gt;53565.72,H25*0.275-9913.83,IF(H25&gt;42869.16,H25*0.225-7235.54,IF(H25&gt;32151.48,H25*0.15-4020.35,IF(H25&gt;21453.24,H25*0.075-1608.99,0))))</f>
        <v>0</v>
      </c>
      <c r="I26" s="151">
        <f>IF(I25&gt;53565.72,I25*0.275-9913.83,IF(I25&gt;42869.16,I25*0.225-7235.54,IF(I25&gt;32151.48,I25*0.15-4020.35,IF(I25&gt;21453.24,I25*0.075-1608.99,0))))</f>
        <v>0</v>
      </c>
    </row>
    <row r="27" spans="1:9" ht="12.75" customHeight="1">
      <c r="A27" s="149" t="s">
        <v>97</v>
      </c>
      <c r="B27" s="151">
        <f>+B13</f>
        <v>0</v>
      </c>
      <c r="C27" s="151">
        <f>+C13</f>
        <v>0</v>
      </c>
      <c r="D27" s="151">
        <f>+D13</f>
        <v>0</v>
      </c>
      <c r="E27" s="151">
        <f>E13</f>
        <v>0</v>
      </c>
      <c r="F27" s="151">
        <f>F13</f>
        <v>0</v>
      </c>
      <c r="G27" s="151">
        <f>G13</f>
        <v>0</v>
      </c>
      <c r="H27" s="151">
        <f>H13</f>
        <v>0</v>
      </c>
      <c r="I27" s="151">
        <f>I13</f>
        <v>0</v>
      </c>
    </row>
    <row r="28" spans="1:9" ht="12.75" customHeight="1">
      <c r="A28" s="149" t="s">
        <v>98</v>
      </c>
      <c r="B28" s="150">
        <f aca="true" t="shared" si="5" ref="B28:I28">B26-B27</f>
        <v>0</v>
      </c>
      <c r="C28" s="150">
        <f t="shared" si="5"/>
        <v>0</v>
      </c>
      <c r="D28" s="150">
        <f t="shared" si="5"/>
        <v>0</v>
      </c>
      <c r="E28" s="151">
        <f t="shared" si="5"/>
        <v>0</v>
      </c>
      <c r="F28" s="151">
        <f t="shared" si="5"/>
        <v>0</v>
      </c>
      <c r="G28" s="151">
        <f t="shared" si="5"/>
        <v>0</v>
      </c>
      <c r="H28" s="151">
        <f t="shared" si="5"/>
        <v>0</v>
      </c>
      <c r="I28" s="151">
        <f t="shared" si="5"/>
        <v>0</v>
      </c>
    </row>
    <row r="29" spans="1:9" ht="12.75" customHeight="1">
      <c r="A29" s="149" t="s">
        <v>99</v>
      </c>
      <c r="B29" s="151">
        <f>+B15</f>
        <v>0</v>
      </c>
      <c r="C29" s="151">
        <f>+C15</f>
        <v>0</v>
      </c>
      <c r="D29" s="151">
        <f>+D15</f>
        <v>0</v>
      </c>
      <c r="E29" s="151">
        <f>+E15</f>
        <v>0</v>
      </c>
      <c r="F29" s="151">
        <f>F15</f>
        <v>0</v>
      </c>
      <c r="G29" s="151">
        <f>G15</f>
        <v>0</v>
      </c>
      <c r="H29" s="151">
        <f>H15</f>
        <v>0</v>
      </c>
      <c r="I29" s="151">
        <f>I15</f>
        <v>0</v>
      </c>
    </row>
    <row r="30" spans="1:9" ht="12.75" customHeight="1">
      <c r="A30" s="152" t="s">
        <v>100</v>
      </c>
      <c r="B30" s="159"/>
      <c r="C30" s="159"/>
      <c r="D30" s="151">
        <f aca="true" t="shared" si="6" ref="D30:I30">+D16</f>
        <v>0</v>
      </c>
      <c r="E30" s="151">
        <f t="shared" si="6"/>
        <v>0</v>
      </c>
      <c r="F30" s="151">
        <f t="shared" si="6"/>
        <v>0</v>
      </c>
      <c r="G30" s="151">
        <f t="shared" si="6"/>
        <v>0</v>
      </c>
      <c r="H30" s="151">
        <f t="shared" si="6"/>
        <v>0</v>
      </c>
      <c r="I30" s="151">
        <f t="shared" si="6"/>
        <v>0</v>
      </c>
    </row>
    <row r="31" spans="1:9" ht="12.75" customHeight="1">
      <c r="A31" s="149" t="s">
        <v>101</v>
      </c>
      <c r="B31" s="150">
        <f>B28-B29</f>
        <v>0</v>
      </c>
      <c r="C31" s="150">
        <f>C28-C29</f>
        <v>0</v>
      </c>
      <c r="D31" s="150">
        <f aca="true" t="shared" si="7" ref="D31:I31">D28-D29+D30</f>
        <v>0</v>
      </c>
      <c r="E31" s="150">
        <f t="shared" si="7"/>
        <v>0</v>
      </c>
      <c r="F31" s="150">
        <f t="shared" si="7"/>
        <v>0</v>
      </c>
      <c r="G31" s="150">
        <f t="shared" si="7"/>
        <v>0</v>
      </c>
      <c r="H31" s="150">
        <f t="shared" si="7"/>
        <v>0</v>
      </c>
      <c r="I31" s="150">
        <f t="shared" si="7"/>
        <v>0</v>
      </c>
    </row>
    <row r="32" spans="1:9" ht="12.75" customHeight="1">
      <c r="A32" s="149" t="s">
        <v>106</v>
      </c>
      <c r="B32" s="151">
        <f aca="true" t="shared" si="8" ref="B32:I32">+B17</f>
        <v>0</v>
      </c>
      <c r="C32" s="151">
        <f t="shared" si="8"/>
        <v>0</v>
      </c>
      <c r="D32" s="151">
        <f t="shared" si="8"/>
        <v>0</v>
      </c>
      <c r="E32" s="151">
        <f t="shared" si="8"/>
        <v>0</v>
      </c>
      <c r="F32" s="151">
        <f t="shared" si="8"/>
        <v>0</v>
      </c>
      <c r="G32" s="151">
        <f t="shared" si="8"/>
        <v>0</v>
      </c>
      <c r="H32" s="151">
        <f t="shared" si="8"/>
        <v>0</v>
      </c>
      <c r="I32" s="151">
        <f t="shared" si="8"/>
        <v>0</v>
      </c>
    </row>
    <row r="33" spans="1:9" ht="12.75" customHeight="1">
      <c r="A33" s="156" t="s">
        <v>107</v>
      </c>
      <c r="B33" s="158">
        <f aca="true" t="shared" si="9" ref="B33:I33">+IF(B31&lt;0,MIN(-B31,-B31+B32),0)</f>
        <v>0</v>
      </c>
      <c r="C33" s="158">
        <f t="shared" si="9"/>
        <v>0</v>
      </c>
      <c r="D33" s="158">
        <f t="shared" si="9"/>
        <v>0</v>
      </c>
      <c r="E33" s="158">
        <f t="shared" si="9"/>
        <v>0</v>
      </c>
      <c r="F33" s="158">
        <f t="shared" si="9"/>
        <v>0</v>
      </c>
      <c r="G33" s="158">
        <f t="shared" si="9"/>
        <v>0</v>
      </c>
      <c r="H33" s="158">
        <f t="shared" si="9"/>
        <v>0</v>
      </c>
      <c r="I33" s="158">
        <f t="shared" si="9"/>
        <v>0</v>
      </c>
    </row>
    <row r="34" spans="1:9" ht="12.75" customHeight="1">
      <c r="A34" s="156" t="s">
        <v>108</v>
      </c>
      <c r="B34" s="158">
        <f aca="true" t="shared" si="10" ref="B34:I34">+IF(B32&gt;0,MIN(B32,B32-B31),0)</f>
        <v>0</v>
      </c>
      <c r="C34" s="158">
        <f t="shared" si="10"/>
        <v>0</v>
      </c>
      <c r="D34" s="158">
        <f t="shared" si="10"/>
        <v>0</v>
      </c>
      <c r="E34" s="158">
        <f t="shared" si="10"/>
        <v>0</v>
      </c>
      <c r="F34" s="158">
        <f t="shared" si="10"/>
        <v>0</v>
      </c>
      <c r="G34" s="158">
        <f t="shared" si="10"/>
        <v>0</v>
      </c>
      <c r="H34" s="158">
        <f t="shared" si="10"/>
        <v>0</v>
      </c>
      <c r="I34" s="158">
        <f t="shared" si="10"/>
        <v>0</v>
      </c>
    </row>
    <row r="36" spans="1:9" ht="15" customHeight="1">
      <c r="A36" s="214" t="s">
        <v>109</v>
      </c>
      <c r="B36" s="214"/>
      <c r="C36" s="214"/>
      <c r="D36" s="214"/>
      <c r="E36" s="214"/>
      <c r="F36" s="214"/>
      <c r="G36" s="214"/>
      <c r="H36" s="214"/>
      <c r="I36" s="214"/>
    </row>
    <row r="37" spans="1:9" ht="11.25" customHeight="1">
      <c r="A37" s="160" t="s">
        <v>110</v>
      </c>
      <c r="B37" s="161">
        <v>2008</v>
      </c>
      <c r="C37" s="161">
        <f aca="true" t="shared" si="11" ref="C37:I37">+B37+1</f>
        <v>2009</v>
      </c>
      <c r="D37" s="161">
        <f t="shared" si="11"/>
        <v>2010</v>
      </c>
      <c r="E37" s="161">
        <f t="shared" si="11"/>
        <v>2011</v>
      </c>
      <c r="F37" s="161">
        <f t="shared" si="11"/>
        <v>2012</v>
      </c>
      <c r="G37" s="161">
        <f t="shared" si="11"/>
        <v>2013</v>
      </c>
      <c r="H37" s="161">
        <f t="shared" si="11"/>
        <v>2014</v>
      </c>
      <c r="I37" s="161">
        <f t="shared" si="11"/>
        <v>2015</v>
      </c>
    </row>
    <row r="38" spans="1:9" ht="11.25" customHeight="1">
      <c r="A38" s="152" t="s">
        <v>93</v>
      </c>
      <c r="B38" s="162">
        <f>+'II. Exaurimento'!C25</f>
        <v>0</v>
      </c>
      <c r="C38" s="162">
        <f>+'II. Exaurimento'!C40</f>
        <v>0</v>
      </c>
      <c r="D38" s="163">
        <f>+'II. Exaurimento'!C55</f>
        <v>0</v>
      </c>
      <c r="E38" s="163">
        <f>+'II. Exaurimento'!C70</f>
        <v>0</v>
      </c>
      <c r="F38" s="163">
        <f>+'II. Exaurimento'!C85</f>
        <v>0</v>
      </c>
      <c r="G38" s="163">
        <f>+'II. Exaurimento'!C101</f>
        <v>0</v>
      </c>
      <c r="H38" s="163">
        <f>+'II. Exaurimento'!C117</f>
        <v>0</v>
      </c>
      <c r="I38" s="163">
        <f>+'II. Exaurimento'!C133</f>
        <v>0</v>
      </c>
    </row>
    <row r="39" spans="1:9" ht="11.25" customHeight="1">
      <c r="A39" s="156" t="s">
        <v>105</v>
      </c>
      <c r="B39" s="164">
        <f>+'II. Exaurimento'!D25</f>
        <v>0</v>
      </c>
      <c r="C39" s="164">
        <f>+'II. Exaurimento'!D40</f>
        <v>0</v>
      </c>
      <c r="D39" s="164">
        <f>+'II. Exaurimento'!D55</f>
        <v>0</v>
      </c>
      <c r="E39" s="164">
        <f>+'II. Exaurimento'!D70</f>
        <v>0</v>
      </c>
      <c r="F39" s="164">
        <f>+'II. Exaurimento'!D85</f>
        <v>0</v>
      </c>
      <c r="G39" s="164">
        <f>+'II. Exaurimento'!D101</f>
        <v>0</v>
      </c>
      <c r="H39" s="164">
        <f>+'II. Exaurimento'!D117</f>
        <v>0</v>
      </c>
      <c r="I39" s="164">
        <f>+'II. Exaurimento'!D133</f>
        <v>0</v>
      </c>
    </row>
    <row r="40" spans="1:9" ht="11.25" customHeight="1">
      <c r="A40" s="152" t="s">
        <v>111</v>
      </c>
      <c r="B40" s="165">
        <f aca="true" t="shared" si="12" ref="B40:I40">B38-B39</f>
        <v>0</v>
      </c>
      <c r="C40" s="165">
        <f t="shared" si="12"/>
        <v>0</v>
      </c>
      <c r="D40" s="165">
        <f t="shared" si="12"/>
        <v>0</v>
      </c>
      <c r="E40" s="165">
        <f t="shared" si="12"/>
        <v>0</v>
      </c>
      <c r="F40" s="165">
        <f t="shared" si="12"/>
        <v>0</v>
      </c>
      <c r="G40" s="165">
        <f t="shared" si="12"/>
        <v>0</v>
      </c>
      <c r="H40" s="165">
        <f t="shared" si="12"/>
        <v>0</v>
      </c>
      <c r="I40" s="165">
        <f t="shared" si="12"/>
        <v>0</v>
      </c>
    </row>
    <row r="41" spans="1:9" ht="11.25" customHeight="1">
      <c r="A41" s="152" t="s">
        <v>112</v>
      </c>
      <c r="B41" s="165">
        <f>IF(B40&gt;2743.25,B40*0.275-548.82,IF(B40&gt;1372.82,B40*0.15-205.92,0))</f>
        <v>0</v>
      </c>
      <c r="C41" s="165">
        <f>IF(C40&gt;3582,C40*0.275-662.94,IF(C40&gt;2866.7,C40*0.225-483.84,IF(C40&gt;2150,C40*0.15-268.84,IF(C40&gt;1434.59,C40*0.075-107.59,0))))</f>
        <v>0</v>
      </c>
      <c r="D41" s="165">
        <f>IF(D40&gt;3743.19,D40*0.275-692.78,IF(D40&gt;2995.7,D40*0.225-505.62,IF(D40&gt;2246.75,D40*0.15-280.94,IF(D40&gt;1499.15,D40*0.075-112.43,0))))</f>
        <v>0</v>
      </c>
      <c r="E41" s="165">
        <f>IF(E40&gt;3911.63,E40*0.275-723.95,IF(E40&gt;3130.51,E40*0.225-528.37,IF(E40&gt;2347.85,E40*0.15-293.58,IF(E40&gt;1566.61,E40*0.075-117.49,0))))</f>
        <v>0</v>
      </c>
      <c r="F41" s="165">
        <f>IF(F40&gt;4087.65,F40*0.275-756.53,IF(F40&gt;3271.38,F40*0.225-552.15,IF(F40&gt;2453.5,F40*0.15-306.8,IF(F40&gt;1637.11,F40*0.075-122.78,0))))</f>
        <v>0</v>
      </c>
      <c r="G41" s="165">
        <f>IF(G40&gt;4271.59,G40*0.275-790.58,IF(G40&gt;3418.59,G40*0.225-577,IF(G40&gt;2563.91,G40*0.15-320.6,IF(G40&gt;1710.78,G40*0.075-128.31,0))))</f>
        <v>0</v>
      </c>
      <c r="H41" s="165">
        <f>IF(H40&gt;4463.81,H40*0.275-826.15,IF(H40&gt;3572.43,H40*0.225-602.96,IF(H40&gt;2679.29,H40*0.15-335.03,IF(H40&gt;1787.77,H40*0.075-134.08,0))))</f>
        <v>0</v>
      </c>
      <c r="I41" s="165">
        <f>IF(I40&gt;4463.81,I40*0.275-826.15,IF(I40&gt;3572.44,I40*0.225-602.96,IF(I40&gt;2679.29,I40*0.15-335.03,IF(I40&gt;1787.77,I40*0.075-134.08,0))))</f>
        <v>0</v>
      </c>
    </row>
    <row r="42" spans="1:9" ht="11.25" customHeight="1">
      <c r="A42" s="152" t="s">
        <v>113</v>
      </c>
      <c r="B42" s="147">
        <v>0</v>
      </c>
      <c r="C42" s="147">
        <v>0</v>
      </c>
      <c r="D42" s="147">
        <v>0</v>
      </c>
      <c r="E42" s="147">
        <v>0</v>
      </c>
      <c r="F42" s="147">
        <v>0</v>
      </c>
      <c r="G42" s="147">
        <v>0</v>
      </c>
      <c r="H42" s="147">
        <v>0</v>
      </c>
      <c r="I42" s="147">
        <v>0</v>
      </c>
    </row>
    <row r="43" spans="1:9" ht="11.25" customHeight="1">
      <c r="A43" s="156" t="s">
        <v>114</v>
      </c>
      <c r="B43" s="164">
        <f aca="true" t="shared" si="13" ref="B43:I43">+MAX(B42-B41,0)</f>
        <v>0</v>
      </c>
      <c r="C43" s="164">
        <f t="shared" si="13"/>
        <v>0</v>
      </c>
      <c r="D43" s="164">
        <f t="shared" si="13"/>
        <v>0</v>
      </c>
      <c r="E43" s="164">
        <f t="shared" si="13"/>
        <v>0</v>
      </c>
      <c r="F43" s="164">
        <f t="shared" si="13"/>
        <v>0</v>
      </c>
      <c r="G43" s="164">
        <f t="shared" si="13"/>
        <v>0</v>
      </c>
      <c r="H43" s="164">
        <f t="shared" si="13"/>
        <v>0</v>
      </c>
      <c r="I43" s="164">
        <f t="shared" si="13"/>
        <v>0</v>
      </c>
    </row>
    <row r="65536" ht="13.5" customHeight="1"/>
  </sheetData>
  <sheetProtection sheet="1" objects="1" scenarios="1"/>
  <mergeCells count="7">
    <mergeCell ref="A36:I36"/>
    <mergeCell ref="A1:I1"/>
    <mergeCell ref="A2:I2"/>
    <mergeCell ref="B3:F3"/>
    <mergeCell ref="B4:F4"/>
    <mergeCell ref="A7:I7"/>
    <mergeCell ref="A18:I18"/>
  </mergeCells>
  <printOptions horizontalCentered="1"/>
  <pageMargins left="0.5118055555555555" right="0.46041666666666664" top="0.6694444444444444" bottom="0.30694444444444446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mcoutinho</dc:creator>
  <cp:keywords/>
  <dc:description/>
  <cp:lastModifiedBy>valeria</cp:lastModifiedBy>
  <dcterms:created xsi:type="dcterms:W3CDTF">2013-10-24T13:34:30Z</dcterms:created>
  <dcterms:modified xsi:type="dcterms:W3CDTF">2013-10-24T17:37:20Z</dcterms:modified>
  <cp:category/>
  <cp:version/>
  <cp:contentType/>
  <cp:contentStatus/>
</cp:coreProperties>
</file>